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10.61.7.100\半導体事業部営業共有\半導体TAC\応用技術部_2\DesignTool関係原稿\PFC設計ツール\FA1A60N\"/>
    </mc:Choice>
  </mc:AlternateContent>
  <workbookProtection workbookPassword="D135" lockStructure="1"/>
  <bookViews>
    <workbookView xWindow="2265" yWindow="-105" windowWidth="7245" windowHeight="7590"/>
  </bookViews>
  <sheets>
    <sheet name="English" sheetId="11" r:id="rId1"/>
  </sheets>
  <definedNames>
    <definedName name="_xlnm.Print_Area" localSheetId="0">English!$A$1:$Y$100</definedName>
  </definedNames>
  <calcPr calcId="152511"/>
</workbook>
</file>

<file path=xl/calcChain.xml><?xml version="1.0" encoding="utf-8"?>
<calcChain xmlns="http://schemas.openxmlformats.org/spreadsheetml/2006/main">
  <c r="E82" i="11" l="1"/>
  <c r="E40" i="11" l="1"/>
  <c r="E38" i="11"/>
  <c r="E51" i="11" l="1"/>
  <c r="E50" i="11"/>
  <c r="E81" i="11" l="1"/>
  <c r="E75" i="11"/>
  <c r="E74" i="11"/>
  <c r="E68" i="11"/>
  <c r="E67" i="11"/>
  <c r="E65" i="11"/>
  <c r="E66" i="11" s="1"/>
  <c r="E64" i="11"/>
  <c r="E63" i="11"/>
  <c r="E58" i="11"/>
  <c r="E56" i="11"/>
  <c r="E26" i="11"/>
  <c r="E25" i="11"/>
  <c r="E24" i="11"/>
  <c r="E18" i="11"/>
  <c r="E17" i="11"/>
  <c r="E89" i="11" l="1"/>
  <c r="E88" i="11"/>
  <c r="E87" i="11"/>
  <c r="E31" i="11"/>
  <c r="E44" i="11"/>
  <c r="E22" i="11"/>
  <c r="E30" i="11" s="1"/>
  <c r="E35" i="11" s="1"/>
  <c r="E36" i="11"/>
  <c r="E39" i="11" s="1"/>
  <c r="E23" i="11"/>
</calcChain>
</file>

<file path=xl/comments1.xml><?xml version="1.0" encoding="utf-8"?>
<comments xmlns="http://schemas.openxmlformats.org/spreadsheetml/2006/main">
  <authors>
    <author>*</author>
  </authors>
  <commentLis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Input AC line rms voltage.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Input AC line rms voltage.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Considering a deviation of AC line frequency.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Pin(max)=Po/η*100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Iin(RMS)=Pin(max)/Vacmin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ILpk=2*√2*Iin(RMS)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ILrms=2/√3*Iin(RMS)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Lp=Vac^2*η*(Vo-√2*Vac)/(2fswmin*Vo*Po)*10^6
Calculate Lp(Vacmin) and Lp(Vacmax) by using this expression.
Output smaller value.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Lp.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fsw(acmin)=Vacmin^2*η/(2L*Po)*(1-√2*Vacmin)/Vo*1000
Using a design value L.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fsw(acmax)=Vacmax^2*η/(2L*Po)*(1-√2*Vacmax)/Vo*1000
Using a design value L.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Boost Diode Peak Current is same as RMS Input Current.</t>
        </r>
      </text>
    </comment>
    <comment ref="E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Idrms=4/3*√2*√(√2/π)*√(Vacmin/Vo)*Iin(RMS)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Peak Current(max) is same as RMS Input Current.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Imrms=2√2*Iin(RMS)*√(1/6-4√2/(9π)*Vacmin/Vo)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Rs(max)=Vthcsh/(Impk*(1+OCM/100))
Vthcsh:CS pin threshold voltage.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Rs(max).</t>
        </r>
      </text>
    </comment>
    <comment ref="E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Prs=Rs*Imrms^2
Using a design value Rs.</t>
        </r>
      </text>
    </comment>
    <comment ref="E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Ioc(min)=Vthcsh/Rs
Vthcsh:CS pin threshold voltage.
Using a design value Rs.</t>
        </r>
      </text>
    </comment>
    <comment ref="E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CIN=Iin(RMS)/(2π*fsw(acmin)*Vacmin*0.05)*1000
0.05=Voltage ripple of CIN/Vacmin</t>
        </r>
      </text>
    </comment>
    <comment ref="I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CIN.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AC line period</t>
        </r>
      </text>
    </comment>
    <comment ref="E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Co(min)=2*Po*thold/(Vo^2-Vout-min^2)*1000</t>
        </r>
      </text>
    </comment>
    <comment ref="I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Co(min).</t>
        </r>
      </text>
    </comment>
    <comment ref="E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Vripple(p-p)=Po/(Vo2πfacminCo/10^6)
Using a design value Co.</t>
        </r>
      </text>
    </comment>
    <comment ref="E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Less than 20MΩ.</t>
        </r>
      </text>
    </comment>
    <comment ref="E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RFBL=VREF*RFBH/(Vo-VREF)</t>
        </r>
      </text>
    </comment>
    <comment ref="I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RFBL.</t>
        </r>
      </text>
    </comment>
    <comment ref="E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In the FA1A60N, VREF is 2.5V.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Vo=VREF(RFBH+RFBL)/RFBL
Using a design value RFBL.</t>
        </r>
      </text>
    </comment>
    <comment ref="E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CFB of recommended values are 
1000pF～0.047uF.</t>
        </r>
      </text>
    </comment>
    <comment ref="E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Ton(Vacmin)=2*L*Po/(Vacmin^2*η/100)
Using a design value L.</t>
        </r>
      </text>
    </comment>
    <comment ref="E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Ton(Vacmax)=2*L*Po/(Vacmax^2*η/100)
Using a design value L.</t>
        </r>
      </text>
    </comment>
    <comment ref="E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Ton(Vacmin)=2*L*Po/(Vacmin^2*η/100)/0.8
Using a design value L.</t>
        </r>
      </text>
    </comment>
    <comment ref="E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RT(min)=(Tonmax/1.1146)^(1/0.6733)
This equation is an approximation.
Refer to "Tonmax vs RT resistance curve" in the datasheet.</t>
        </r>
      </text>
    </comment>
    <comment ref="I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RT(min) 
and the turn-on timing with the actual Vds waveform.</t>
        </r>
      </text>
    </comment>
    <comment ref="E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Tonmax=1.1146*RT^0.6733
Using a design value RT.
This equation is an approximation.
Refer to "Tonmax vs RT resistance curve" in the datasheet.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Tdelay=0.2267*RT^0.3612
This equation is an approximation.
Refer to "Tzcd vs RT resistance curve" in the datasheet.</t>
        </r>
      </text>
    </comment>
    <comment ref="E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CRT of recommended values are 
1nF～10nF.</t>
        </r>
      </text>
    </comment>
    <comment ref="E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RCS of recommended values are 
47Ω～100Ω.</t>
        </r>
      </text>
    </comment>
    <comment ref="E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CCS=1/(2π*fcoff*RCS)*10^12</t>
        </r>
      </text>
    </comment>
    <comment ref="I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CCS.</t>
        </r>
      </text>
    </comment>
    <comment ref="E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fcoff=1/(2π*CCS*RCS)*1000
Using a design value CCS.</t>
        </r>
      </text>
    </comment>
    <comment ref="E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Less than 20MΩ.</t>
        </r>
      </text>
    </comment>
    <comment ref="E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ROVL=VREF*1.095*ROVH/(Vstp-VREF*1.095)</t>
        </r>
      </text>
    </comment>
    <comment ref="I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ROVL.</t>
        </r>
      </text>
    </comment>
    <comment ref="E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Vstop=VREF*1.095(ROVH+ROVL)/ROVL
Using a design value ROVL.</t>
        </r>
      </text>
    </comment>
    <comment ref="E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CCMP1=4*Vripple(p-p)/Vo
Empirical formula.</t>
        </r>
      </text>
    </comment>
    <comment ref="I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CCMP1.</t>
        </r>
      </text>
    </comment>
    <comment ref="E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CCMP2=20*Vripple(p-p)/Vo
Empirical formula.</t>
        </r>
      </text>
    </comment>
    <comment ref="I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CCMP2.</t>
        </r>
      </text>
    </comment>
    <comment ref="E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RCMP=0.3*Vripple(p-p)/Vo
Empirical formula.</t>
        </r>
      </text>
    </comment>
    <comment ref="I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RCMP.</t>
        </r>
      </text>
    </comment>
  </commentList>
</comments>
</file>

<file path=xl/sharedStrings.xml><?xml version="1.0" encoding="utf-8"?>
<sst xmlns="http://schemas.openxmlformats.org/spreadsheetml/2006/main" count="246" uniqueCount="157">
  <si>
    <t>η</t>
    <phoneticPr fontId="1"/>
  </si>
  <si>
    <t>V</t>
    <phoneticPr fontId="1"/>
  </si>
  <si>
    <t>Hz</t>
    <phoneticPr fontId="1"/>
  </si>
  <si>
    <t>W</t>
    <phoneticPr fontId="1"/>
  </si>
  <si>
    <t>%</t>
    <phoneticPr fontId="1"/>
  </si>
  <si>
    <t>kHz</t>
    <phoneticPr fontId="1"/>
  </si>
  <si>
    <t>uH</t>
    <phoneticPr fontId="1"/>
  </si>
  <si>
    <t>A</t>
    <phoneticPr fontId="1"/>
  </si>
  <si>
    <t>Ω</t>
    <phoneticPr fontId="1"/>
  </si>
  <si>
    <t>uF</t>
    <phoneticPr fontId="1"/>
  </si>
  <si>
    <t>pF</t>
    <phoneticPr fontId="1"/>
  </si>
  <si>
    <t>kΩ</t>
    <phoneticPr fontId="1"/>
  </si>
  <si>
    <t>Iin(RMS)</t>
    <phoneticPr fontId="1"/>
  </si>
  <si>
    <t>A</t>
    <phoneticPr fontId="1"/>
  </si>
  <si>
    <t>V</t>
    <phoneticPr fontId="1"/>
  </si>
  <si>
    <t>kHz</t>
    <phoneticPr fontId="1"/>
  </si>
  <si>
    <t>Vacmin</t>
    <phoneticPr fontId="1"/>
  </si>
  <si>
    <t>Vacmax</t>
    <phoneticPr fontId="1"/>
  </si>
  <si>
    <t>facmin</t>
    <phoneticPr fontId="1"/>
  </si>
  <si>
    <t>Po</t>
    <phoneticPr fontId="1"/>
  </si>
  <si>
    <t>ｆswmin</t>
    <phoneticPr fontId="1"/>
  </si>
  <si>
    <t>Vo</t>
    <phoneticPr fontId="1"/>
  </si>
  <si>
    <t>W</t>
    <phoneticPr fontId="1"/>
  </si>
  <si>
    <t>ILpk</t>
    <phoneticPr fontId="1"/>
  </si>
  <si>
    <t>ILrms</t>
    <phoneticPr fontId="1"/>
  </si>
  <si>
    <t>Idpk</t>
    <phoneticPr fontId="1"/>
  </si>
  <si>
    <t>Idrms</t>
    <phoneticPr fontId="1"/>
  </si>
  <si>
    <t>Impk</t>
    <phoneticPr fontId="1"/>
  </si>
  <si>
    <t>Imrms</t>
    <phoneticPr fontId="1"/>
  </si>
  <si>
    <t>Rs</t>
    <phoneticPr fontId="1"/>
  </si>
  <si>
    <t>Prs</t>
    <phoneticPr fontId="1"/>
  </si>
  <si>
    <t>Ioc(min)</t>
    <phoneticPr fontId="1"/>
  </si>
  <si>
    <t>Lp</t>
    <phoneticPr fontId="1"/>
  </si>
  <si>
    <t>fcoff</t>
    <phoneticPr fontId="1"/>
  </si>
  <si>
    <t>OCM</t>
    <phoneticPr fontId="1"/>
  </si>
  <si>
    <t>fsw(acmin)</t>
    <phoneticPr fontId="1"/>
  </si>
  <si>
    <t>fsw(acmax)</t>
    <phoneticPr fontId="1"/>
  </si>
  <si>
    <t>us</t>
    <phoneticPr fontId="1"/>
  </si>
  <si>
    <t>Tonmax</t>
    <phoneticPr fontId="1"/>
  </si>
  <si>
    <t>Ton(Vacmax)</t>
    <phoneticPr fontId="1"/>
  </si>
  <si>
    <t>Ton(Vacmin)</t>
    <phoneticPr fontId="1"/>
  </si>
  <si>
    <t>VREF</t>
    <phoneticPr fontId="1"/>
  </si>
  <si>
    <t>VREF(Default 2.5V)</t>
    <phoneticPr fontId="1"/>
  </si>
  <si>
    <t>kohm</t>
    <phoneticPr fontId="1"/>
  </si>
  <si>
    <t>us</t>
    <phoneticPr fontId="1"/>
  </si>
  <si>
    <t>Tonmax</t>
    <phoneticPr fontId="1"/>
  </si>
  <si>
    <t>Vstp(target)</t>
    <phoneticPr fontId="1"/>
  </si>
  <si>
    <t>V</t>
    <phoneticPr fontId="1"/>
  </si>
  <si>
    <t>kΩ</t>
    <phoneticPr fontId="1"/>
  </si>
  <si>
    <t>Vstop</t>
    <phoneticPr fontId="1"/>
  </si>
  <si>
    <t>us</t>
    <phoneticPr fontId="1"/>
  </si>
  <si>
    <t>Tdelay</t>
    <phoneticPr fontId="1"/>
  </si>
  <si>
    <t>uF</t>
    <phoneticPr fontId="1"/>
  </si>
  <si>
    <r>
      <t>t</t>
    </r>
    <r>
      <rPr>
        <vertAlign val="subscript"/>
        <sz val="11"/>
        <rFont val="Meiryo UI"/>
        <family val="3"/>
        <charset val="128"/>
      </rPr>
      <t>hold</t>
    </r>
    <phoneticPr fontId="1"/>
  </si>
  <si>
    <t>msec</t>
    <phoneticPr fontId="1"/>
  </si>
  <si>
    <r>
      <t>V</t>
    </r>
    <r>
      <rPr>
        <vertAlign val="subscript"/>
        <sz val="11"/>
        <rFont val="Meiryo UI"/>
        <family val="3"/>
        <charset val="128"/>
      </rPr>
      <t>out_min</t>
    </r>
    <phoneticPr fontId="1"/>
  </si>
  <si>
    <t>Vripple(p-p)</t>
    <phoneticPr fontId="1"/>
  </si>
  <si>
    <t>Input</t>
    <phoneticPr fontId="14"/>
  </si>
  <si>
    <t>Parameter</t>
    <phoneticPr fontId="1"/>
  </si>
  <si>
    <t>Unit</t>
    <phoneticPr fontId="1"/>
  </si>
  <si>
    <t>Value</t>
    <phoneticPr fontId="1"/>
  </si>
  <si>
    <t>Symbol</t>
    <phoneticPr fontId="1"/>
  </si>
  <si>
    <t>Pin(max)</t>
    <phoneticPr fontId="1"/>
  </si>
  <si>
    <t>Result</t>
    <phoneticPr fontId="14"/>
  </si>
  <si>
    <t>L</t>
    <phoneticPr fontId="1"/>
  </si>
  <si>
    <t>Rs(max)</t>
    <phoneticPr fontId="1"/>
  </si>
  <si>
    <r>
      <t>C</t>
    </r>
    <r>
      <rPr>
        <sz val="8"/>
        <rFont val="Meiryo UI"/>
        <family val="3"/>
        <charset val="128"/>
      </rPr>
      <t>IN</t>
    </r>
    <phoneticPr fontId="1"/>
  </si>
  <si>
    <r>
      <t>C</t>
    </r>
    <r>
      <rPr>
        <sz val="8"/>
        <rFont val="Meiryo UI"/>
        <family val="3"/>
        <charset val="128"/>
      </rPr>
      <t>IN</t>
    </r>
    <phoneticPr fontId="1"/>
  </si>
  <si>
    <t>Co</t>
    <phoneticPr fontId="1"/>
  </si>
  <si>
    <r>
      <t>R</t>
    </r>
    <r>
      <rPr>
        <sz val="8"/>
        <rFont val="Meiryo UI"/>
        <family val="3"/>
        <charset val="128"/>
      </rPr>
      <t>FBH</t>
    </r>
    <phoneticPr fontId="1"/>
  </si>
  <si>
    <r>
      <t>R</t>
    </r>
    <r>
      <rPr>
        <sz val="8"/>
        <rFont val="Meiryo UI"/>
        <family val="3"/>
        <charset val="128"/>
      </rPr>
      <t>FBL</t>
    </r>
    <phoneticPr fontId="1"/>
  </si>
  <si>
    <r>
      <t>R</t>
    </r>
    <r>
      <rPr>
        <sz val="8"/>
        <rFont val="Meiryo UI"/>
        <family val="3"/>
        <charset val="128"/>
      </rPr>
      <t>T</t>
    </r>
    <phoneticPr fontId="1"/>
  </si>
  <si>
    <r>
      <t>R</t>
    </r>
    <r>
      <rPr>
        <sz val="8"/>
        <rFont val="Meiryo UI"/>
        <family val="3"/>
        <charset val="128"/>
      </rPr>
      <t>OVH</t>
    </r>
    <phoneticPr fontId="1"/>
  </si>
  <si>
    <r>
      <t>R</t>
    </r>
    <r>
      <rPr>
        <sz val="8"/>
        <rFont val="Meiryo UI"/>
        <family val="3"/>
        <charset val="128"/>
      </rPr>
      <t>OVL</t>
    </r>
    <phoneticPr fontId="1"/>
  </si>
  <si>
    <r>
      <t>R</t>
    </r>
    <r>
      <rPr>
        <sz val="8"/>
        <rFont val="Meiryo UI"/>
        <family val="3"/>
        <charset val="128"/>
      </rPr>
      <t>OVL</t>
    </r>
    <phoneticPr fontId="1"/>
  </si>
  <si>
    <r>
      <t>C</t>
    </r>
    <r>
      <rPr>
        <sz val="8"/>
        <rFont val="Meiryo UI"/>
        <family val="3"/>
        <charset val="128"/>
      </rPr>
      <t>FB</t>
    </r>
    <phoneticPr fontId="1"/>
  </si>
  <si>
    <r>
      <t>C</t>
    </r>
    <r>
      <rPr>
        <sz val="8"/>
        <rFont val="Meiryo UI"/>
        <family val="3"/>
        <charset val="128"/>
      </rPr>
      <t>OV</t>
    </r>
    <phoneticPr fontId="1"/>
  </si>
  <si>
    <r>
      <t>C</t>
    </r>
    <r>
      <rPr>
        <sz val="8"/>
        <rFont val="Meiryo UI"/>
        <family val="3"/>
        <charset val="128"/>
      </rPr>
      <t>RT</t>
    </r>
    <phoneticPr fontId="1"/>
  </si>
  <si>
    <t>nF</t>
    <phoneticPr fontId="14"/>
  </si>
  <si>
    <t>ON Time Max</t>
    <phoneticPr fontId="1"/>
  </si>
  <si>
    <t>1．Power supply Specification</t>
    <phoneticPr fontId="1"/>
  </si>
  <si>
    <t>Minimum Input Voltage</t>
    <phoneticPr fontId="1"/>
  </si>
  <si>
    <t>Maximum Input Voltage</t>
    <phoneticPr fontId="1"/>
  </si>
  <si>
    <t>Minimum Input Frequency</t>
    <phoneticPr fontId="1"/>
  </si>
  <si>
    <t>Maximum Output Power</t>
    <phoneticPr fontId="1"/>
  </si>
  <si>
    <t>Estimated Effiency</t>
    <phoneticPr fontId="1"/>
  </si>
  <si>
    <t>Minimum Switching Frequency</t>
    <phoneticPr fontId="1"/>
  </si>
  <si>
    <t>Output Voltage</t>
    <phoneticPr fontId="1"/>
  </si>
  <si>
    <t>Maximum Input Power</t>
    <phoneticPr fontId="1"/>
  </si>
  <si>
    <t>Output Voltage</t>
    <phoneticPr fontId="1"/>
  </si>
  <si>
    <t>RMS Input Current</t>
    <phoneticPr fontId="1"/>
  </si>
  <si>
    <t>２．Boost Inductor L</t>
    <phoneticPr fontId="1"/>
  </si>
  <si>
    <t>Maximum Inductor Current@Low Line</t>
    <phoneticPr fontId="1"/>
  </si>
  <si>
    <t>RMS Input Current@Low Line</t>
    <phoneticPr fontId="1"/>
  </si>
  <si>
    <t>Inductance(max)</t>
    <phoneticPr fontId="1"/>
  </si>
  <si>
    <t>Switching Frequency(Vacmin)</t>
    <phoneticPr fontId="1"/>
  </si>
  <si>
    <t>Switching Frequency(Vacmax)</t>
    <phoneticPr fontId="1"/>
  </si>
  <si>
    <t>３．Boost Diode D</t>
    <phoneticPr fontId="1"/>
  </si>
  <si>
    <t>Boost Diode RMS Current</t>
    <phoneticPr fontId="1"/>
  </si>
  <si>
    <t>Boost Diode Peak Current</t>
    <phoneticPr fontId="1"/>
  </si>
  <si>
    <t>４．MOSFET,Current Sense Resistor</t>
    <phoneticPr fontId="1"/>
  </si>
  <si>
    <t>Peak Current(max)</t>
    <phoneticPr fontId="1"/>
  </si>
  <si>
    <t>RMS Current(rms)</t>
    <phoneticPr fontId="1"/>
  </si>
  <si>
    <t>Over Current Mergin</t>
    <phoneticPr fontId="1"/>
  </si>
  <si>
    <t>Current Sense Resistor(max)</t>
    <phoneticPr fontId="1"/>
  </si>
  <si>
    <t>Power Dissipated in Rs</t>
    <phoneticPr fontId="1"/>
  </si>
  <si>
    <t>Over Current Limit Value</t>
    <phoneticPr fontId="1"/>
  </si>
  <si>
    <t>５．Input Capacitor</t>
    <phoneticPr fontId="1"/>
  </si>
  <si>
    <t>Input Capacitor</t>
    <phoneticPr fontId="1"/>
  </si>
  <si>
    <t>６．Output Capacitor</t>
    <phoneticPr fontId="1"/>
  </si>
  <si>
    <t>Hold Time</t>
    <phoneticPr fontId="1"/>
  </si>
  <si>
    <t>Minimum Output Voltage</t>
    <phoneticPr fontId="1"/>
  </si>
  <si>
    <t>Output Capacitor(min)</t>
    <phoneticPr fontId="1"/>
  </si>
  <si>
    <t>Output Voltage Ripple</t>
    <phoneticPr fontId="1"/>
  </si>
  <si>
    <t>ON Time(Vacmin）</t>
    <phoneticPr fontId="1"/>
  </si>
  <si>
    <t>ON Time(Vacmax）</t>
    <phoneticPr fontId="1"/>
  </si>
  <si>
    <t>ON Time Max(Tonmax)</t>
    <phoneticPr fontId="1"/>
  </si>
  <si>
    <t>RT Resistor(min)</t>
    <phoneticPr fontId="1"/>
  </si>
  <si>
    <t>Zero current sense delay time</t>
    <phoneticPr fontId="1"/>
  </si>
  <si>
    <t>Filter Capacitor(fcoff=1.5MHz)</t>
    <phoneticPr fontId="1"/>
  </si>
  <si>
    <t>Cutoff Frequency(1MHz&lt;fcoff&lt;2MHz)</t>
    <phoneticPr fontId="1"/>
  </si>
  <si>
    <t>OVP stop voltage(Target)</t>
    <phoneticPr fontId="1"/>
  </si>
  <si>
    <t>OVP pin resistor H</t>
    <phoneticPr fontId="1"/>
  </si>
  <si>
    <t>OVP pin resistor L</t>
    <phoneticPr fontId="1"/>
  </si>
  <si>
    <t>OVP stop voltage</t>
    <phoneticPr fontId="1"/>
  </si>
  <si>
    <t>OVP pin Capacitor</t>
    <phoneticPr fontId="1"/>
  </si>
  <si>
    <t>10．OVP pin Resistor</t>
    <phoneticPr fontId="1"/>
  </si>
  <si>
    <t>８．RT pin Resistor</t>
    <phoneticPr fontId="1"/>
  </si>
  <si>
    <t>７．FB pin Resistor</t>
    <phoneticPr fontId="1"/>
  </si>
  <si>
    <t>FB pin Resistor H</t>
    <phoneticPr fontId="1"/>
  </si>
  <si>
    <t>FB pin Resistor L</t>
    <phoneticPr fontId="1"/>
  </si>
  <si>
    <t>FB pin Capacitor</t>
    <phoneticPr fontId="1"/>
  </si>
  <si>
    <t>Design value (Input)</t>
    <phoneticPr fontId="1"/>
  </si>
  <si>
    <t>This design sheet should be used as a reference when conducting basic design of PFC circuit using FA1A60N.</t>
    <phoneticPr fontId="1"/>
  </si>
  <si>
    <t>For the explanation of each item, refer to FA1A60N data sheet.</t>
    <phoneticPr fontId="1"/>
  </si>
  <si>
    <t>Calculated values on this sheet are calculated by IC typ. Value. In actual design, please consider variations of IC and peripheral parts.</t>
    <phoneticPr fontId="1"/>
  </si>
  <si>
    <t>Setting range 20 to 100kohm</t>
    <phoneticPr fontId="1"/>
  </si>
  <si>
    <t>*Depending on the OVP pin capacitance, a delay time occurs and the OVP voltage becomes higher than the calculated value.</t>
    <phoneticPr fontId="1"/>
  </si>
  <si>
    <t>11.　COMP pin</t>
    <phoneticPr fontId="14"/>
  </si>
  <si>
    <t>COMP pin Capacitor 1</t>
    <phoneticPr fontId="1"/>
  </si>
  <si>
    <t>COMP pin Capasitor 2</t>
    <phoneticPr fontId="1"/>
  </si>
  <si>
    <t>COMP pin Resistor</t>
    <phoneticPr fontId="1"/>
  </si>
  <si>
    <r>
      <t>C</t>
    </r>
    <r>
      <rPr>
        <sz val="8"/>
        <rFont val="Meiryo UI"/>
        <family val="3"/>
        <charset val="128"/>
      </rPr>
      <t>CMP1</t>
    </r>
    <phoneticPr fontId="1"/>
  </si>
  <si>
    <r>
      <t>C</t>
    </r>
    <r>
      <rPr>
        <sz val="8"/>
        <rFont val="Meiryo UI"/>
        <family val="3"/>
        <charset val="128"/>
      </rPr>
      <t>CMP2</t>
    </r>
    <phoneticPr fontId="14"/>
  </si>
  <si>
    <r>
      <t>R</t>
    </r>
    <r>
      <rPr>
        <sz val="8"/>
        <rFont val="Meiryo UI"/>
        <family val="3"/>
        <charset val="128"/>
      </rPr>
      <t>CMP</t>
    </r>
    <phoneticPr fontId="1"/>
  </si>
  <si>
    <t>*The optimum value of the RT resistor should be determined by considering the turn-on timing with the actual Vds waveform.</t>
    <phoneticPr fontId="1"/>
  </si>
  <si>
    <t>*Reference value. Each value should be detrtmined by evaluating stability, response, power factor etc. on actual PSU.</t>
    <phoneticPr fontId="1"/>
  </si>
  <si>
    <t>Co(min)</t>
    <phoneticPr fontId="1"/>
  </si>
  <si>
    <r>
      <t>R</t>
    </r>
    <r>
      <rPr>
        <sz val="8"/>
        <rFont val="Meiryo UI"/>
        <family val="3"/>
        <charset val="128"/>
      </rPr>
      <t>FBL</t>
    </r>
    <phoneticPr fontId="1"/>
  </si>
  <si>
    <r>
      <t>R</t>
    </r>
    <r>
      <rPr>
        <sz val="8"/>
        <rFont val="Meiryo UI"/>
        <family val="3"/>
        <charset val="128"/>
      </rPr>
      <t>T</t>
    </r>
    <r>
      <rPr>
        <sz val="11"/>
        <rFont val="Meiryo UI"/>
        <family val="3"/>
        <charset val="128"/>
      </rPr>
      <t>(min)</t>
    </r>
    <phoneticPr fontId="1"/>
  </si>
  <si>
    <r>
      <t>C</t>
    </r>
    <r>
      <rPr>
        <sz val="9"/>
        <rFont val="Meiryo UI"/>
        <family val="3"/>
        <charset val="128"/>
      </rPr>
      <t>C</t>
    </r>
    <r>
      <rPr>
        <sz val="8"/>
        <rFont val="Meiryo UI"/>
        <family val="3"/>
        <charset val="128"/>
      </rPr>
      <t>S</t>
    </r>
    <phoneticPr fontId="1"/>
  </si>
  <si>
    <t>９．CS Filter</t>
    <phoneticPr fontId="1"/>
  </si>
  <si>
    <t>CS Filter Resistor (47 to 100Ω)</t>
    <phoneticPr fontId="1"/>
  </si>
  <si>
    <r>
      <t>R</t>
    </r>
    <r>
      <rPr>
        <sz val="9"/>
        <rFont val="Meiryo UI"/>
        <family val="3"/>
        <charset val="128"/>
      </rPr>
      <t>C</t>
    </r>
    <r>
      <rPr>
        <sz val="8"/>
        <rFont val="Meiryo UI"/>
        <family val="3"/>
        <charset val="128"/>
      </rPr>
      <t>S</t>
    </r>
    <phoneticPr fontId="1"/>
  </si>
  <si>
    <t>FA1A60N PFC Circuite Design Sheet (Rev. 2.0)</t>
    <phoneticPr fontId="1"/>
  </si>
  <si>
    <t>RT Capacitor (1nF~10nF)</t>
    <phoneticPr fontId="1"/>
  </si>
  <si>
    <t>19-1-25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</si>
</sst>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"/>
    <numFmt numFmtId="177" formatCode="0.0"/>
    <numFmt numFmtId="178" formatCode="0.00_ "/>
    <numFmt numFmtId="179" formatCode="0.0_ "/>
    <numFmt numFmtId="180" formatCode="0_ "/>
    <numFmt numFmtId="181" formatCode="0.000_);[Red]\(0.000\)"/>
    <numFmt numFmtId="182" formatCode="0.000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Meiryo UI"/>
      <family val="3"/>
      <charset val="128"/>
    </font>
    <font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1"/>
      <color indexed="12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vertAlign val="subscript"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u/>
      <sz val="11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12">
    <xf numFmtId="0" fontId="0" fillId="0" borderId="0" xfId="0"/>
    <xf numFmtId="177" fontId="15" fillId="0" borderId="0" xfId="0" applyNumberFormat="1" applyFont="1" applyFill="1" applyBorder="1" applyProtection="1">
      <protection hidden="1"/>
    </xf>
    <xf numFmtId="0" fontId="5" fillId="2" borderId="4" xfId="0" applyFont="1" applyFill="1" applyBorder="1" applyProtection="1">
      <protection locked="0"/>
    </xf>
    <xf numFmtId="0" fontId="12" fillId="3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180" fontId="7" fillId="4" borderId="8" xfId="0" applyNumberFormat="1" applyFont="1" applyFill="1" applyBorder="1" applyAlignment="1" applyProtection="1">
      <alignment vertical="center"/>
      <protection hidden="1"/>
    </xf>
    <xf numFmtId="178" fontId="7" fillId="4" borderId="12" xfId="0" applyNumberFormat="1" applyFont="1" applyFill="1" applyBorder="1" applyAlignment="1" applyProtection="1">
      <alignment vertical="center"/>
      <protection hidden="1"/>
    </xf>
    <xf numFmtId="178" fontId="7" fillId="4" borderId="4" xfId="0" applyNumberFormat="1" applyFont="1" applyFill="1" applyBorder="1" applyAlignment="1" applyProtection="1">
      <alignment vertical="center"/>
      <protection hidden="1"/>
    </xf>
    <xf numFmtId="177" fontId="7" fillId="4" borderId="4" xfId="0" applyNumberFormat="1" applyFont="1" applyFill="1" applyBorder="1" applyAlignment="1" applyProtection="1">
      <alignment vertical="center"/>
      <protection hidden="1"/>
    </xf>
    <xf numFmtId="179" fontId="7" fillId="4" borderId="4" xfId="0" applyNumberFormat="1" applyFont="1" applyFill="1" applyBorder="1" applyAlignment="1" applyProtection="1">
      <alignment vertical="center"/>
      <protection hidden="1"/>
    </xf>
    <xf numFmtId="179" fontId="7" fillId="4" borderId="12" xfId="0" applyNumberFormat="1" applyFont="1" applyFill="1" applyBorder="1" applyAlignment="1" applyProtection="1">
      <alignment vertical="center"/>
      <protection hidden="1"/>
    </xf>
    <xf numFmtId="2" fontId="7" fillId="4" borderId="4" xfId="0" applyNumberFormat="1" applyFont="1" applyFill="1" applyBorder="1" applyAlignment="1" applyProtection="1">
      <alignment vertical="center"/>
      <protection hidden="1"/>
    </xf>
    <xf numFmtId="178" fontId="7" fillId="4" borderId="12" xfId="0" applyNumberFormat="1" applyFont="1" applyFill="1" applyBorder="1" applyAlignment="1" applyProtection="1">
      <alignment horizontal="right" vertical="center"/>
      <protection hidden="1"/>
    </xf>
    <xf numFmtId="176" fontId="7" fillId="4" borderId="4" xfId="0" applyNumberFormat="1" applyFont="1" applyFill="1" applyBorder="1" applyAlignment="1" applyProtection="1">
      <alignment vertical="center"/>
      <protection hidden="1"/>
    </xf>
    <xf numFmtId="176" fontId="7" fillId="4" borderId="12" xfId="0" applyNumberFormat="1" applyFont="1" applyFill="1" applyBorder="1" applyAlignment="1" applyProtection="1">
      <alignment vertical="center"/>
      <protection hidden="1"/>
    </xf>
    <xf numFmtId="181" fontId="7" fillId="4" borderId="12" xfId="0" applyNumberFormat="1" applyFont="1" applyFill="1" applyBorder="1" applyAlignment="1" applyProtection="1">
      <alignment vertical="center"/>
      <protection hidden="1"/>
    </xf>
    <xf numFmtId="2" fontId="7" fillId="4" borderId="12" xfId="0" applyNumberFormat="1" applyFont="1" applyFill="1" applyBorder="1" applyAlignment="1" applyProtection="1">
      <alignment vertical="center"/>
      <protection hidden="1"/>
    </xf>
    <xf numFmtId="1" fontId="7" fillId="4" borderId="4" xfId="0" applyNumberFormat="1" applyFont="1" applyFill="1" applyBorder="1" applyAlignment="1" applyProtection="1">
      <alignment vertical="center"/>
      <protection hidden="1"/>
    </xf>
    <xf numFmtId="180" fontId="7" fillId="4" borderId="12" xfId="0" applyNumberFormat="1" applyFont="1" applyFill="1" applyBorder="1" applyAlignment="1" applyProtection="1">
      <alignment vertical="center"/>
      <protection hidden="1"/>
    </xf>
    <xf numFmtId="177" fontId="15" fillId="0" borderId="0" xfId="0" applyNumberFormat="1" applyFont="1" applyFill="1" applyBorder="1" applyAlignment="1" applyProtection="1">
      <alignment vertical="center"/>
      <protection hidden="1"/>
    </xf>
    <xf numFmtId="177" fontId="7" fillId="4" borderId="7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2" fillId="0" borderId="0" xfId="1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protection hidden="1"/>
    </xf>
    <xf numFmtId="0" fontId="6" fillId="0" borderId="0" xfId="0" applyFont="1" applyFill="1" applyAlignment="1" applyProtection="1">
      <protection hidden="1"/>
    </xf>
    <xf numFmtId="0" fontId="3" fillId="0" borderId="14" xfId="0" applyFont="1" applyFill="1" applyBorder="1" applyAlignment="1" applyProtection="1">
      <alignment horizontal="left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Protection="1"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2" fontId="8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Protection="1"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76" fontId="7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Protection="1">
      <protection hidden="1"/>
    </xf>
    <xf numFmtId="0" fontId="3" fillId="0" borderId="20" xfId="0" applyFont="1" applyFill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Border="1" applyProtection="1">
      <protection hidden="1"/>
    </xf>
    <xf numFmtId="180" fontId="7" fillId="4" borderId="4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178" fontId="7" fillId="4" borderId="7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180" fontId="7" fillId="4" borderId="7" xfId="0" applyNumberFormat="1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12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80" fontId="12" fillId="0" borderId="0" xfId="0" applyNumberFormat="1" applyFont="1" applyAlignment="1" applyProtection="1">
      <alignment vertical="center"/>
      <protection hidden="1"/>
    </xf>
    <xf numFmtId="178" fontId="12" fillId="0" borderId="0" xfId="0" applyNumberFormat="1" applyFont="1" applyBorder="1" applyProtection="1">
      <protection hidden="1"/>
    </xf>
    <xf numFmtId="178" fontId="12" fillId="0" borderId="0" xfId="0" applyNumberFormat="1" applyFont="1" applyAlignment="1" applyProtection="1">
      <alignment vertical="center"/>
      <protection hidden="1"/>
    </xf>
    <xf numFmtId="2" fontId="17" fillId="3" borderId="4" xfId="0" applyNumberFormat="1" applyFont="1" applyFill="1" applyBorder="1" applyAlignment="1" applyProtection="1">
      <alignment vertical="center"/>
      <protection locked="0"/>
    </xf>
    <xf numFmtId="1" fontId="17" fillId="3" borderId="12" xfId="0" applyNumberFormat="1" applyFont="1" applyFill="1" applyBorder="1" applyAlignment="1" applyProtection="1">
      <alignment vertical="center"/>
      <protection locked="0"/>
    </xf>
    <xf numFmtId="180" fontId="17" fillId="3" borderId="12" xfId="0" applyNumberFormat="1" applyFont="1" applyFill="1" applyBorder="1" applyAlignment="1" applyProtection="1">
      <alignment vertical="center"/>
      <protection locked="0"/>
    </xf>
    <xf numFmtId="0" fontId="17" fillId="3" borderId="1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hidden="1"/>
    </xf>
    <xf numFmtId="0" fontId="3" fillId="0" borderId="0" xfId="0" quotePrefix="1" applyFont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182" fontId="11" fillId="4" borderId="4" xfId="0" applyNumberFormat="1" applyFont="1" applyFill="1" applyBorder="1" applyAlignment="1" applyProtection="1">
      <alignment vertical="center"/>
      <protection hidden="1"/>
    </xf>
    <xf numFmtId="178" fontId="11" fillId="4" borderId="12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DDEBF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104775</xdr:rowOff>
    </xdr:from>
    <xdr:to>
      <xdr:col>6</xdr:col>
      <xdr:colOff>390525</xdr:colOff>
      <xdr:row>23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991225" y="49244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37</xdr:row>
      <xdr:rowOff>104775</xdr:rowOff>
    </xdr:from>
    <xdr:to>
      <xdr:col>7</xdr:col>
      <xdr:colOff>0</xdr:colOff>
      <xdr:row>37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000750" y="78581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49</xdr:row>
      <xdr:rowOff>104775</xdr:rowOff>
    </xdr:from>
    <xdr:to>
      <xdr:col>7</xdr:col>
      <xdr:colOff>19050</xdr:colOff>
      <xdr:row>49</xdr:row>
      <xdr:rowOff>104775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019800" y="103727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73</xdr:row>
      <xdr:rowOff>104775</xdr:rowOff>
    </xdr:from>
    <xdr:to>
      <xdr:col>7</xdr:col>
      <xdr:colOff>0</xdr:colOff>
      <xdr:row>73</xdr:row>
      <xdr:rowOff>104775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000750" y="154019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55</xdr:row>
      <xdr:rowOff>114300</xdr:rowOff>
    </xdr:from>
    <xdr:to>
      <xdr:col>6</xdr:col>
      <xdr:colOff>390525</xdr:colOff>
      <xdr:row>55</xdr:row>
      <xdr:rowOff>114300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5991225" y="11639550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65</xdr:row>
      <xdr:rowOff>85725</xdr:rowOff>
    </xdr:from>
    <xdr:to>
      <xdr:col>7</xdr:col>
      <xdr:colOff>0</xdr:colOff>
      <xdr:row>65</xdr:row>
      <xdr:rowOff>85725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6000750" y="1370647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43</xdr:row>
      <xdr:rowOff>104775</xdr:rowOff>
    </xdr:from>
    <xdr:to>
      <xdr:col>7</xdr:col>
      <xdr:colOff>19050</xdr:colOff>
      <xdr:row>43</xdr:row>
      <xdr:rowOff>104775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6019800" y="91154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0</xdr:colOff>
      <xdr:row>80</xdr:row>
      <xdr:rowOff>114300</xdr:rowOff>
    </xdr:from>
    <xdr:to>
      <xdr:col>7</xdr:col>
      <xdr:colOff>0</xdr:colOff>
      <xdr:row>80</xdr:row>
      <xdr:rowOff>114300</xdr:rowOff>
    </xdr:to>
    <xdr:sp macro="" textlink="">
      <xdr:nvSpPr>
        <xdr:cNvPr id="9" name="Line 595"/>
        <xdr:cNvSpPr>
          <a:spLocks noChangeShapeType="1"/>
        </xdr:cNvSpPr>
      </xdr:nvSpPr>
      <xdr:spPr bwMode="auto">
        <a:xfrm>
          <a:off x="5991225" y="16878300"/>
          <a:ext cx="4000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5013</xdr:colOff>
      <xdr:row>24</xdr:row>
      <xdr:rowOff>0</xdr:rowOff>
    </xdr:from>
    <xdr:to>
      <xdr:col>8</xdr:col>
      <xdr:colOff>474209</xdr:colOff>
      <xdr:row>25</xdr:row>
      <xdr:rowOff>97971</xdr:rowOff>
    </xdr:to>
    <xdr:grpSp>
      <xdr:nvGrpSpPr>
        <xdr:cNvPr id="11" name="グループ化 10"/>
        <xdr:cNvGrpSpPr/>
      </xdr:nvGrpSpPr>
      <xdr:grpSpPr>
        <a:xfrm>
          <a:off x="6000160" y="5109882"/>
          <a:ext cx="1410490" cy="310883"/>
          <a:chOff x="5995737" y="5053263"/>
          <a:chExt cx="1411669" cy="308524"/>
        </a:xfrm>
      </xdr:grpSpPr>
      <xdr:cxnSp macro="">
        <xdr:nvCxnSpPr>
          <xdr:cNvPr id="12" name="直線コネクタ 11"/>
          <xdr:cNvCxnSpPr/>
        </xdr:nvCxnSpPr>
        <xdr:spPr bwMode="auto">
          <a:xfrm>
            <a:off x="7395840" y="5053263"/>
            <a:ext cx="0" cy="30852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3" name="直線コネクタ 12"/>
          <xdr:cNvCxnSpPr/>
        </xdr:nvCxnSpPr>
        <xdr:spPr bwMode="auto">
          <a:xfrm flipH="1">
            <a:off x="5995737" y="534558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" name="直線コネクタ 13"/>
          <xdr:cNvCxnSpPr/>
        </xdr:nvCxnSpPr>
        <xdr:spPr bwMode="auto">
          <a:xfrm flipH="1">
            <a:off x="5995737" y="517012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5013</xdr:colOff>
      <xdr:row>38</xdr:row>
      <xdr:rowOff>9525</xdr:rowOff>
    </xdr:from>
    <xdr:to>
      <xdr:col>8</xdr:col>
      <xdr:colOff>474209</xdr:colOff>
      <xdr:row>39</xdr:row>
      <xdr:rowOff>107496</xdr:rowOff>
    </xdr:to>
    <xdr:grpSp>
      <xdr:nvGrpSpPr>
        <xdr:cNvPr id="15" name="グループ化 14"/>
        <xdr:cNvGrpSpPr/>
      </xdr:nvGrpSpPr>
      <xdr:grpSpPr>
        <a:xfrm>
          <a:off x="6000160" y="8100172"/>
          <a:ext cx="1410490" cy="310883"/>
          <a:chOff x="5995737" y="5053263"/>
          <a:chExt cx="1411669" cy="308524"/>
        </a:xfrm>
      </xdr:grpSpPr>
      <xdr:cxnSp macro="">
        <xdr:nvCxnSpPr>
          <xdr:cNvPr id="16" name="直線コネクタ 15"/>
          <xdr:cNvCxnSpPr/>
        </xdr:nvCxnSpPr>
        <xdr:spPr bwMode="auto">
          <a:xfrm>
            <a:off x="7395840" y="5053263"/>
            <a:ext cx="0" cy="30852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7" name="直線コネクタ 16"/>
          <xdr:cNvCxnSpPr/>
        </xdr:nvCxnSpPr>
        <xdr:spPr bwMode="auto">
          <a:xfrm flipH="1">
            <a:off x="5995737" y="534558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8" name="直線コネクタ 17"/>
          <xdr:cNvCxnSpPr/>
        </xdr:nvCxnSpPr>
        <xdr:spPr bwMode="auto">
          <a:xfrm flipH="1">
            <a:off x="5995737" y="517012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5013</xdr:colOff>
      <xdr:row>49</xdr:row>
      <xdr:rowOff>209085</xdr:rowOff>
    </xdr:from>
    <xdr:to>
      <xdr:col>8</xdr:col>
      <xdr:colOff>474209</xdr:colOff>
      <xdr:row>50</xdr:row>
      <xdr:rowOff>134744</xdr:rowOff>
    </xdr:to>
    <xdr:grpSp>
      <xdr:nvGrpSpPr>
        <xdr:cNvPr id="19" name="グループ化 18"/>
        <xdr:cNvGrpSpPr/>
      </xdr:nvGrpSpPr>
      <xdr:grpSpPr>
        <a:xfrm>
          <a:off x="6000160" y="10641761"/>
          <a:ext cx="1410490" cy="138571"/>
          <a:chOff x="5998793" y="10454268"/>
          <a:chExt cx="1412404" cy="134744"/>
        </a:xfrm>
      </xdr:grpSpPr>
      <xdr:cxnSp macro="">
        <xdr:nvCxnSpPr>
          <xdr:cNvPr id="20" name="直線コネクタ 19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1" name="直線コネクタ 20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673987</xdr:colOff>
      <xdr:row>56</xdr:row>
      <xdr:rowOff>27836</xdr:rowOff>
    </xdr:from>
    <xdr:to>
      <xdr:col>8</xdr:col>
      <xdr:colOff>458924</xdr:colOff>
      <xdr:row>57</xdr:row>
      <xdr:rowOff>140779</xdr:rowOff>
    </xdr:to>
    <xdr:grpSp>
      <xdr:nvGrpSpPr>
        <xdr:cNvPr id="22" name="グループ化 21"/>
        <xdr:cNvGrpSpPr/>
      </xdr:nvGrpSpPr>
      <xdr:grpSpPr>
        <a:xfrm>
          <a:off x="5985575" y="11950895"/>
          <a:ext cx="1409790" cy="325855"/>
          <a:chOff x="6000160" y="11958777"/>
          <a:chExt cx="1410490" cy="325139"/>
        </a:xfrm>
      </xdr:grpSpPr>
      <xdr:cxnSp macro="">
        <xdr:nvCxnSpPr>
          <xdr:cNvPr id="23" name="直線コネクタ 22"/>
          <xdr:cNvCxnSpPr/>
        </xdr:nvCxnSpPr>
        <xdr:spPr bwMode="auto">
          <a:xfrm>
            <a:off x="7399083" y="11928073"/>
            <a:ext cx="0" cy="32821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4" name="直線コネクタ 23"/>
          <xdr:cNvCxnSpPr/>
        </xdr:nvCxnSpPr>
        <xdr:spPr bwMode="auto">
          <a:xfrm flipH="1">
            <a:off x="6000160" y="12239985"/>
            <a:ext cx="1410490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684185</xdr:colOff>
      <xdr:row>81</xdr:row>
      <xdr:rowOff>2020</xdr:rowOff>
    </xdr:from>
    <xdr:to>
      <xdr:col>8</xdr:col>
      <xdr:colOff>465925</xdr:colOff>
      <xdr:row>81</xdr:row>
      <xdr:rowOff>134744</xdr:rowOff>
    </xdr:to>
    <xdr:grpSp>
      <xdr:nvGrpSpPr>
        <xdr:cNvPr id="25" name="グループ化 24"/>
        <xdr:cNvGrpSpPr/>
      </xdr:nvGrpSpPr>
      <xdr:grpSpPr>
        <a:xfrm>
          <a:off x="5995773" y="17247873"/>
          <a:ext cx="1406593" cy="132724"/>
          <a:chOff x="5998793" y="10454268"/>
          <a:chExt cx="1412404" cy="134744"/>
        </a:xfrm>
      </xdr:grpSpPr>
      <xdr:cxnSp macro="">
        <xdr:nvCxnSpPr>
          <xdr:cNvPr id="26" name="直線コネクタ 25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7" name="直線コネクタ 26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684185</xdr:colOff>
      <xdr:row>66</xdr:row>
      <xdr:rowOff>2020</xdr:rowOff>
    </xdr:from>
    <xdr:to>
      <xdr:col>8</xdr:col>
      <xdr:colOff>465925</xdr:colOff>
      <xdr:row>66</xdr:row>
      <xdr:rowOff>134744</xdr:rowOff>
    </xdr:to>
    <xdr:grpSp>
      <xdr:nvGrpSpPr>
        <xdr:cNvPr id="28" name="グループ化 27"/>
        <xdr:cNvGrpSpPr/>
      </xdr:nvGrpSpPr>
      <xdr:grpSpPr>
        <a:xfrm>
          <a:off x="5995773" y="14054196"/>
          <a:ext cx="1406593" cy="132724"/>
          <a:chOff x="5998793" y="10454268"/>
          <a:chExt cx="1412404" cy="134744"/>
        </a:xfrm>
      </xdr:grpSpPr>
      <xdr:cxnSp macro="">
        <xdr:nvCxnSpPr>
          <xdr:cNvPr id="29" name="直線コネクタ 28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0" name="直線コネクタ 29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684185</xdr:colOff>
      <xdr:row>74</xdr:row>
      <xdr:rowOff>11545</xdr:rowOff>
    </xdr:from>
    <xdr:to>
      <xdr:col>8</xdr:col>
      <xdr:colOff>465925</xdr:colOff>
      <xdr:row>74</xdr:row>
      <xdr:rowOff>144269</xdr:rowOff>
    </xdr:to>
    <xdr:grpSp>
      <xdr:nvGrpSpPr>
        <xdr:cNvPr id="31" name="グループ化 30"/>
        <xdr:cNvGrpSpPr/>
      </xdr:nvGrpSpPr>
      <xdr:grpSpPr>
        <a:xfrm>
          <a:off x="5995773" y="15767016"/>
          <a:ext cx="1406593" cy="132724"/>
          <a:chOff x="5998793" y="10454268"/>
          <a:chExt cx="1412404" cy="134744"/>
        </a:xfrm>
      </xdr:grpSpPr>
      <xdr:cxnSp macro="">
        <xdr:nvCxnSpPr>
          <xdr:cNvPr id="32" name="直線コネクタ 31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3" name="直線コネクタ 32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9</xdr:col>
      <xdr:colOff>449132</xdr:colOff>
      <xdr:row>58</xdr:row>
      <xdr:rowOff>173520</xdr:rowOff>
    </xdr:from>
    <xdr:to>
      <xdr:col>12</xdr:col>
      <xdr:colOff>603243</xdr:colOff>
      <xdr:row>66</xdr:row>
      <xdr:rowOff>2564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2032" y="12327420"/>
          <a:ext cx="2030536" cy="1500001"/>
        </a:xfrm>
        <a:prstGeom prst="rect">
          <a:avLst/>
        </a:prstGeom>
      </xdr:spPr>
    </xdr:pic>
    <xdr:clientData/>
  </xdr:twoCellAnchor>
  <xdr:twoCellAnchor editAs="oneCell">
    <xdr:from>
      <xdr:col>12</xdr:col>
      <xdr:colOff>122168</xdr:colOff>
      <xdr:row>58</xdr:row>
      <xdr:rowOff>174768</xdr:rowOff>
    </xdr:from>
    <xdr:to>
      <xdr:col>16</xdr:col>
      <xdr:colOff>544356</xdr:colOff>
      <xdr:row>66</xdr:row>
      <xdr:rowOff>115326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61493" y="12328668"/>
          <a:ext cx="3165388" cy="161695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87</xdr:row>
      <xdr:rowOff>85725</xdr:rowOff>
    </xdr:from>
    <xdr:to>
      <xdr:col>7</xdr:col>
      <xdr:colOff>0</xdr:colOff>
      <xdr:row>87</xdr:row>
      <xdr:rowOff>85725</xdr:rowOff>
    </xdr:to>
    <xdr:sp macro="" textlink="">
      <xdr:nvSpPr>
        <xdr:cNvPr id="36" name="Line 595"/>
        <xdr:cNvSpPr>
          <a:spLocks noChangeShapeType="1"/>
        </xdr:cNvSpPr>
      </xdr:nvSpPr>
      <xdr:spPr bwMode="auto">
        <a:xfrm>
          <a:off x="5991225" y="18316575"/>
          <a:ext cx="4000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100853</xdr:colOff>
      <xdr:row>5</xdr:row>
      <xdr:rowOff>78441</xdr:rowOff>
    </xdr:from>
    <xdr:to>
      <xdr:col>12</xdr:col>
      <xdr:colOff>364191</xdr:colOff>
      <xdr:row>21</xdr:row>
      <xdr:rowOff>211792</xdr:rowOff>
    </xdr:to>
    <xdr:pic>
      <xdr:nvPicPr>
        <xdr:cNvPr id="38" name="図 3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12" y="1143000"/>
          <a:ext cx="3703544" cy="353993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425"/>
  <sheetViews>
    <sheetView tabSelected="1" zoomScale="85" zoomScaleNormal="85" workbookViewId="0">
      <selection activeCell="O31" sqref="O31"/>
    </sheetView>
  </sheetViews>
  <sheetFormatPr defaultRowHeight="15.75" x14ac:dyDescent="0.25"/>
  <cols>
    <col min="1" max="1" width="3.625" style="106" customWidth="1"/>
    <col min="2" max="2" width="2" style="25" customWidth="1"/>
    <col min="3" max="3" width="39.625" style="25" customWidth="1"/>
    <col min="4" max="4" width="11.75" style="25" customWidth="1"/>
    <col min="5" max="5" width="12.625" style="25" bestFit="1" customWidth="1"/>
    <col min="6" max="6" width="9" style="25"/>
    <col min="7" max="7" width="5.25" style="26" customWidth="1"/>
    <col min="8" max="8" width="7.125" style="27" customWidth="1"/>
    <col min="9" max="9" width="13.5" style="27" customWidth="1"/>
    <col min="10" max="10" width="6.625" style="27" customWidth="1"/>
    <col min="11" max="12" width="9" style="27"/>
    <col min="13" max="24" width="9" style="26"/>
    <col min="25" max="25" width="10.75" style="26" customWidth="1"/>
    <col min="26" max="52" width="9" style="26"/>
    <col min="53" max="16384" width="9" style="27"/>
  </cols>
  <sheetData>
    <row r="1" spans="1:17" ht="16.5" customHeight="1" x14ac:dyDescent="0.25">
      <c r="A1" s="107"/>
      <c r="C1" s="24" t="s">
        <v>154</v>
      </c>
      <c r="I1" s="105" t="s">
        <v>156</v>
      </c>
    </row>
    <row r="2" spans="1:17" ht="16.5" customHeight="1" x14ac:dyDescent="0.25"/>
    <row r="3" spans="1:17" ht="16.5" customHeight="1" x14ac:dyDescent="0.25">
      <c r="B3" s="25" t="s">
        <v>133</v>
      </c>
      <c r="I3" s="4"/>
    </row>
    <row r="4" spans="1:17" ht="16.5" customHeight="1" x14ac:dyDescent="0.25">
      <c r="B4" s="25" t="s">
        <v>134</v>
      </c>
      <c r="I4" s="28"/>
      <c r="O4" s="29"/>
      <c r="P4" s="29"/>
      <c r="Q4" s="29"/>
    </row>
    <row r="5" spans="1:17" ht="16.5" customHeight="1" x14ac:dyDescent="0.25">
      <c r="B5" s="25" t="s">
        <v>135</v>
      </c>
      <c r="O5" s="29"/>
      <c r="P5" s="29"/>
      <c r="Q5" s="29"/>
    </row>
    <row r="6" spans="1:17" ht="16.5" customHeight="1" x14ac:dyDescent="0.25">
      <c r="O6" s="29"/>
      <c r="P6" s="29"/>
      <c r="Q6" s="29"/>
    </row>
    <row r="7" spans="1:17" ht="16.5" customHeight="1" x14ac:dyDescent="0.25">
      <c r="E7" s="3" t="s">
        <v>57</v>
      </c>
      <c r="O7" s="29"/>
      <c r="P7" s="29"/>
      <c r="Q7" s="29"/>
    </row>
    <row r="8" spans="1:17" ht="16.5" customHeight="1" thickBot="1" x14ac:dyDescent="0.3">
      <c r="B8" s="30" t="s">
        <v>80</v>
      </c>
      <c r="E8" s="31" t="s">
        <v>63</v>
      </c>
      <c r="O8" s="29"/>
      <c r="P8" s="29"/>
      <c r="Q8" s="29"/>
    </row>
    <row r="9" spans="1:17" ht="16.5" customHeight="1" thickBot="1" x14ac:dyDescent="0.3">
      <c r="B9" s="30"/>
      <c r="C9" s="32" t="s">
        <v>58</v>
      </c>
      <c r="D9" s="33" t="s">
        <v>61</v>
      </c>
      <c r="E9" s="34" t="s">
        <v>60</v>
      </c>
      <c r="F9" s="35" t="s">
        <v>59</v>
      </c>
      <c r="G9" s="36"/>
      <c r="H9" s="37"/>
      <c r="O9" s="29"/>
      <c r="P9" s="29"/>
      <c r="Q9" s="29"/>
    </row>
    <row r="10" spans="1:17" ht="16.5" customHeight="1" thickTop="1" x14ac:dyDescent="0.25">
      <c r="C10" s="38" t="s">
        <v>81</v>
      </c>
      <c r="D10" s="39" t="s">
        <v>16</v>
      </c>
      <c r="E10" s="5">
        <v>90</v>
      </c>
      <c r="F10" s="40" t="s">
        <v>1</v>
      </c>
      <c r="O10" s="41"/>
      <c r="P10" s="29"/>
      <c r="Q10" s="29"/>
    </row>
    <row r="11" spans="1:17" ht="16.5" customHeight="1" x14ac:dyDescent="0.25">
      <c r="C11" s="42" t="s">
        <v>82</v>
      </c>
      <c r="D11" s="43" t="s">
        <v>17</v>
      </c>
      <c r="E11" s="6">
        <v>264</v>
      </c>
      <c r="F11" s="44" t="s">
        <v>1</v>
      </c>
      <c r="O11" s="41"/>
      <c r="P11" s="29"/>
      <c r="Q11" s="29"/>
    </row>
    <row r="12" spans="1:17" ht="16.5" customHeight="1" x14ac:dyDescent="0.25">
      <c r="C12" s="42" t="s">
        <v>83</v>
      </c>
      <c r="D12" s="43" t="s">
        <v>18</v>
      </c>
      <c r="E12" s="6">
        <v>47</v>
      </c>
      <c r="F12" s="44" t="s">
        <v>2</v>
      </c>
      <c r="O12" s="41"/>
      <c r="P12" s="29"/>
      <c r="Q12" s="29"/>
    </row>
    <row r="13" spans="1:17" ht="16.5" customHeight="1" x14ac:dyDescent="0.25">
      <c r="C13" s="42" t="s">
        <v>84</v>
      </c>
      <c r="D13" s="43" t="s">
        <v>19</v>
      </c>
      <c r="E13" s="6">
        <v>180</v>
      </c>
      <c r="F13" s="44" t="s">
        <v>3</v>
      </c>
      <c r="O13" s="41"/>
      <c r="P13" s="29"/>
      <c r="Q13" s="29"/>
    </row>
    <row r="14" spans="1:17" ht="16.5" customHeight="1" x14ac:dyDescent="0.25">
      <c r="C14" s="42" t="s">
        <v>85</v>
      </c>
      <c r="D14" s="43" t="s">
        <v>0</v>
      </c>
      <c r="E14" s="6">
        <v>95</v>
      </c>
      <c r="F14" s="44" t="s">
        <v>4</v>
      </c>
    </row>
    <row r="15" spans="1:17" ht="16.5" customHeight="1" x14ac:dyDescent="0.25">
      <c r="C15" s="42" t="s">
        <v>86</v>
      </c>
      <c r="D15" s="43" t="s">
        <v>20</v>
      </c>
      <c r="E15" s="6">
        <v>45</v>
      </c>
      <c r="F15" s="44" t="s">
        <v>5</v>
      </c>
    </row>
    <row r="16" spans="1:17" ht="16.5" customHeight="1" x14ac:dyDescent="0.25">
      <c r="C16" s="42" t="s">
        <v>89</v>
      </c>
      <c r="D16" s="43" t="s">
        <v>21</v>
      </c>
      <c r="E16" s="6">
        <v>390</v>
      </c>
      <c r="F16" s="44" t="s">
        <v>1</v>
      </c>
    </row>
    <row r="17" spans="2:10" ht="16.5" customHeight="1" x14ac:dyDescent="0.25">
      <c r="C17" s="42" t="s">
        <v>88</v>
      </c>
      <c r="D17" s="45" t="s">
        <v>62</v>
      </c>
      <c r="E17" s="7">
        <f>E13/E14*100</f>
        <v>189.4736842105263</v>
      </c>
      <c r="F17" s="46" t="s">
        <v>22</v>
      </c>
    </row>
    <row r="18" spans="2:10" ht="16.5" customHeight="1" thickBot="1" x14ac:dyDescent="0.3">
      <c r="C18" s="47" t="s">
        <v>90</v>
      </c>
      <c r="D18" s="48" t="s">
        <v>12</v>
      </c>
      <c r="E18" s="8">
        <f>E13/(E14/100)/E10</f>
        <v>2.1052631578947372</v>
      </c>
      <c r="F18" s="49" t="s">
        <v>13</v>
      </c>
    </row>
    <row r="19" spans="2:10" ht="16.5" customHeight="1" x14ac:dyDescent="0.25"/>
    <row r="20" spans="2:10" ht="16.5" customHeight="1" thickBot="1" x14ac:dyDescent="0.3">
      <c r="B20" s="30" t="s">
        <v>91</v>
      </c>
      <c r="H20" s="50"/>
      <c r="I20" s="51"/>
    </row>
    <row r="21" spans="2:10" ht="16.5" customHeight="1" thickBot="1" x14ac:dyDescent="0.3">
      <c r="B21" s="30"/>
      <c r="C21" s="32" t="s">
        <v>58</v>
      </c>
      <c r="D21" s="33" t="s">
        <v>61</v>
      </c>
      <c r="E21" s="34" t="s">
        <v>60</v>
      </c>
      <c r="F21" s="35" t="s">
        <v>59</v>
      </c>
      <c r="H21" s="50"/>
      <c r="I21" s="51"/>
    </row>
    <row r="22" spans="2:10" ht="16.5" customHeight="1" thickTop="1" x14ac:dyDescent="0.25">
      <c r="B22" s="52"/>
      <c r="C22" s="53" t="s">
        <v>92</v>
      </c>
      <c r="D22" s="45" t="s">
        <v>23</v>
      </c>
      <c r="E22" s="9">
        <f>2*SQRT(2)*E18</f>
        <v>5.9545834205182961</v>
      </c>
      <c r="F22" s="54" t="s">
        <v>7</v>
      </c>
      <c r="H22" s="55"/>
      <c r="I22" s="55"/>
    </row>
    <row r="23" spans="2:10" ht="16.5" customHeight="1" x14ac:dyDescent="0.25">
      <c r="B23" s="52"/>
      <c r="C23" s="53" t="s">
        <v>93</v>
      </c>
      <c r="D23" s="45" t="s">
        <v>24</v>
      </c>
      <c r="E23" s="9">
        <f>2*E18/SQRT(3)</f>
        <v>2.4309485018510562</v>
      </c>
      <c r="F23" s="54" t="s">
        <v>7</v>
      </c>
      <c r="H23" s="55"/>
      <c r="I23" s="104" t="s">
        <v>132</v>
      </c>
    </row>
    <row r="24" spans="2:10" ht="16.5" customHeight="1" x14ac:dyDescent="0.25">
      <c r="C24" s="53" t="s">
        <v>94</v>
      </c>
      <c r="D24" s="45" t="s">
        <v>32</v>
      </c>
      <c r="E24" s="10">
        <f>IF((E10*E10*(E16-SQRT(2)*E10)*(E14/100)/(2*(E15*1000)*E16*E13))*10^6&lt;(E11*E11*(E16-SQRT(2)*E11)*(E14/100)/(2*(E15*1000)*E16*E13))*10^6,(E10*E10*(E16-SQRT(2)*E10)*(E14/100)/(2*(E15*1000)*E16*E13))*10^6,(E11*E11*(E16-SQRT(2)*E11)*(E14/100)/(2*(E15*1000)*E16*E13))*10^6)</f>
        <v>174.46325838187201</v>
      </c>
      <c r="F24" s="54" t="s">
        <v>6</v>
      </c>
      <c r="H24" s="56" t="s">
        <v>64</v>
      </c>
      <c r="I24" s="2">
        <v>180</v>
      </c>
      <c r="J24" s="57" t="s">
        <v>6</v>
      </c>
    </row>
    <row r="25" spans="2:10" ht="16.5" customHeight="1" x14ac:dyDescent="0.25">
      <c r="C25" s="53" t="s">
        <v>95</v>
      </c>
      <c r="D25" s="45" t="s">
        <v>35</v>
      </c>
      <c r="E25" s="11">
        <f>E10^2*E14/100/(2*I24*E13)*(1-E10*SQRT(2)/E16)*1000</f>
        <v>79.995109108045</v>
      </c>
      <c r="F25" s="54" t="s">
        <v>15</v>
      </c>
      <c r="G25" s="1"/>
      <c r="H25" s="58"/>
      <c r="J25" s="59"/>
    </row>
    <row r="26" spans="2:10" ht="16.5" customHeight="1" thickBot="1" x14ac:dyDescent="0.3">
      <c r="C26" s="60" t="s">
        <v>96</v>
      </c>
      <c r="D26" s="61" t="s">
        <v>36</v>
      </c>
      <c r="E26" s="12">
        <f>E11^2*E14/100/(2*I24*E13)*(1-E11*SQRT(2)/E16)*1000</f>
        <v>43.61581459546796</v>
      </c>
      <c r="F26" s="62" t="s">
        <v>15</v>
      </c>
      <c r="G26" s="1"/>
      <c r="H26" s="63"/>
      <c r="I26" s="64"/>
      <c r="J26" s="65"/>
    </row>
    <row r="27" spans="2:10" ht="16.5" customHeight="1" x14ac:dyDescent="0.25">
      <c r="C27" s="66"/>
      <c r="D27" s="66"/>
      <c r="E27" s="66"/>
      <c r="F27" s="66"/>
      <c r="H27" s="65"/>
      <c r="I27" s="50"/>
      <c r="J27" s="65"/>
    </row>
    <row r="28" spans="2:10" ht="16.5" customHeight="1" thickBot="1" x14ac:dyDescent="0.3">
      <c r="B28" s="67" t="s">
        <v>97</v>
      </c>
      <c r="C28" s="68"/>
      <c r="D28" s="68"/>
      <c r="E28" s="69"/>
      <c r="F28" s="70"/>
      <c r="G28" s="71"/>
      <c r="H28" s="50"/>
      <c r="I28" s="50"/>
      <c r="J28" s="50"/>
    </row>
    <row r="29" spans="2:10" ht="16.5" customHeight="1" thickBot="1" x14ac:dyDescent="0.3">
      <c r="B29" s="67"/>
      <c r="C29" s="32" t="s">
        <v>58</v>
      </c>
      <c r="D29" s="33" t="s">
        <v>61</v>
      </c>
      <c r="E29" s="34" t="s">
        <v>60</v>
      </c>
      <c r="F29" s="35" t="s">
        <v>59</v>
      </c>
      <c r="G29" s="71"/>
      <c r="H29" s="50"/>
      <c r="I29" s="50"/>
      <c r="J29" s="50"/>
    </row>
    <row r="30" spans="2:10" ht="16.5" customHeight="1" thickTop="1" x14ac:dyDescent="0.25">
      <c r="B30" s="68"/>
      <c r="C30" s="53" t="s">
        <v>99</v>
      </c>
      <c r="D30" s="45" t="s">
        <v>25</v>
      </c>
      <c r="E30" s="13">
        <f>E22</f>
        <v>5.9545834205182961</v>
      </c>
      <c r="F30" s="54" t="s">
        <v>7</v>
      </c>
      <c r="H30" s="50"/>
      <c r="I30" s="50"/>
      <c r="J30" s="50"/>
    </row>
    <row r="31" spans="2:10" ht="16.5" customHeight="1" thickBot="1" x14ac:dyDescent="0.3">
      <c r="B31" s="52"/>
      <c r="C31" s="60" t="s">
        <v>98</v>
      </c>
      <c r="D31" s="61" t="s">
        <v>26</v>
      </c>
      <c r="E31" s="14">
        <f>2*SQRT(2)*E18*SQRT(4*SQRT(2)/9/PI()*E10/E16)</f>
        <v>1.279474511180992</v>
      </c>
      <c r="F31" s="62" t="s">
        <v>7</v>
      </c>
      <c r="H31" s="55"/>
      <c r="I31" s="55"/>
    </row>
    <row r="32" spans="2:10" ht="16.5" customHeight="1" x14ac:dyDescent="0.25">
      <c r="B32" s="68"/>
      <c r="C32" s="68"/>
      <c r="D32" s="68"/>
      <c r="E32" s="69"/>
      <c r="F32" s="70"/>
      <c r="G32" s="71"/>
      <c r="H32" s="50"/>
      <c r="I32" s="51"/>
      <c r="J32" s="50"/>
    </row>
    <row r="33" spans="2:10" ht="16.5" customHeight="1" thickBot="1" x14ac:dyDescent="0.3">
      <c r="B33" s="67" t="s">
        <v>100</v>
      </c>
      <c r="C33" s="68"/>
      <c r="D33" s="68"/>
      <c r="E33" s="69"/>
      <c r="F33" s="70"/>
      <c r="G33" s="71"/>
      <c r="H33" s="111"/>
      <c r="I33" s="111"/>
      <c r="J33" s="50"/>
    </row>
    <row r="34" spans="2:10" ht="16.5" customHeight="1" thickBot="1" x14ac:dyDescent="0.3">
      <c r="B34" s="67"/>
      <c r="C34" s="32" t="s">
        <v>58</v>
      </c>
      <c r="D34" s="33" t="s">
        <v>61</v>
      </c>
      <c r="E34" s="34" t="s">
        <v>60</v>
      </c>
      <c r="F34" s="35" t="s">
        <v>59</v>
      </c>
      <c r="G34" s="71"/>
      <c r="H34" s="55"/>
      <c r="I34" s="55"/>
      <c r="J34" s="50"/>
    </row>
    <row r="35" spans="2:10" ht="16.5" customHeight="1" thickTop="1" x14ac:dyDescent="0.25">
      <c r="C35" s="42" t="s">
        <v>101</v>
      </c>
      <c r="D35" s="72" t="s">
        <v>27</v>
      </c>
      <c r="E35" s="9">
        <f>E30</f>
        <v>5.9545834205182961</v>
      </c>
      <c r="F35" s="46" t="s">
        <v>7</v>
      </c>
    </row>
    <row r="36" spans="2:10" ht="16.5" customHeight="1" x14ac:dyDescent="0.25">
      <c r="C36" s="42" t="s">
        <v>102</v>
      </c>
      <c r="D36" s="72" t="s">
        <v>28</v>
      </c>
      <c r="E36" s="9">
        <f>2*SQRT(2)*E18*SQRT(1/6-4*SQRT(2)/9/PI()*E10/E16)</f>
        <v>2.066991919164189</v>
      </c>
      <c r="F36" s="46" t="s">
        <v>7</v>
      </c>
    </row>
    <row r="37" spans="2:10" ht="16.5" customHeight="1" x14ac:dyDescent="0.25">
      <c r="C37" s="42" t="s">
        <v>103</v>
      </c>
      <c r="D37" s="72" t="s">
        <v>34</v>
      </c>
      <c r="E37" s="6">
        <v>10</v>
      </c>
      <c r="F37" s="46" t="s">
        <v>4</v>
      </c>
      <c r="I37" s="104" t="s">
        <v>132</v>
      </c>
    </row>
    <row r="38" spans="2:10" ht="16.5" customHeight="1" x14ac:dyDescent="0.25">
      <c r="C38" s="42" t="s">
        <v>104</v>
      </c>
      <c r="D38" s="72" t="s">
        <v>65</v>
      </c>
      <c r="E38" s="15">
        <f>0.588*$E$10*($E$14/100)/(2*SQRT(2)*$E$13*(1+($E$37/100)))</f>
        <v>8.9770419993364853E-2</v>
      </c>
      <c r="F38" s="46" t="s">
        <v>8</v>
      </c>
      <c r="H38" s="73" t="s">
        <v>29</v>
      </c>
      <c r="I38" s="2">
        <v>7.4999999999999997E-2</v>
      </c>
      <c r="J38" s="57" t="s">
        <v>8</v>
      </c>
    </row>
    <row r="39" spans="2:10" ht="16.5" customHeight="1" x14ac:dyDescent="0.25">
      <c r="C39" s="42" t="s">
        <v>105</v>
      </c>
      <c r="D39" s="72" t="s">
        <v>30</v>
      </c>
      <c r="E39" s="15">
        <f>E36^2*I38</f>
        <v>0.32043416954175424</v>
      </c>
      <c r="F39" s="46" t="s">
        <v>3</v>
      </c>
      <c r="H39" s="50"/>
      <c r="I39" s="51"/>
      <c r="J39" s="50"/>
    </row>
    <row r="40" spans="2:10" ht="16.5" customHeight="1" thickBot="1" x14ac:dyDescent="0.3">
      <c r="C40" s="47" t="s">
        <v>106</v>
      </c>
      <c r="D40" s="48" t="s">
        <v>31</v>
      </c>
      <c r="E40" s="16">
        <f>0.588/I38</f>
        <v>7.84</v>
      </c>
      <c r="F40" s="49" t="s">
        <v>7</v>
      </c>
      <c r="H40" s="50"/>
      <c r="I40" s="51"/>
      <c r="J40" s="50"/>
    </row>
    <row r="41" spans="2:10" ht="16.5" customHeight="1" x14ac:dyDescent="0.25">
      <c r="C41" s="68"/>
      <c r="D41" s="70"/>
      <c r="E41" s="74"/>
      <c r="F41" s="70"/>
      <c r="H41" s="50"/>
      <c r="I41" s="51"/>
      <c r="J41" s="50"/>
    </row>
    <row r="42" spans="2:10" ht="16.5" customHeight="1" thickBot="1" x14ac:dyDescent="0.3">
      <c r="B42" s="67" t="s">
        <v>107</v>
      </c>
      <c r="C42" s="68"/>
      <c r="D42" s="70"/>
      <c r="E42" s="74"/>
      <c r="F42" s="70"/>
      <c r="H42" s="50"/>
      <c r="I42" s="55"/>
      <c r="J42" s="50"/>
    </row>
    <row r="43" spans="2:10" ht="16.5" customHeight="1" thickBot="1" x14ac:dyDescent="0.3">
      <c r="B43" s="67"/>
      <c r="C43" s="32" t="s">
        <v>58</v>
      </c>
      <c r="D43" s="33" t="s">
        <v>61</v>
      </c>
      <c r="E43" s="34" t="s">
        <v>60</v>
      </c>
      <c r="F43" s="35" t="s">
        <v>59</v>
      </c>
      <c r="H43" s="50"/>
      <c r="I43" s="104" t="s">
        <v>132</v>
      </c>
      <c r="J43" s="50"/>
    </row>
    <row r="44" spans="2:10" ht="16.5" customHeight="1" thickTop="1" thickBot="1" x14ac:dyDescent="0.3">
      <c r="B44" s="75"/>
      <c r="C44" s="47" t="s">
        <v>108</v>
      </c>
      <c r="D44" s="48" t="s">
        <v>66</v>
      </c>
      <c r="E44" s="17">
        <f>E18/(2*PI()*E25*E10*0.05)*1000</f>
        <v>0.9307875661238505</v>
      </c>
      <c r="F44" s="49" t="s">
        <v>52</v>
      </c>
      <c r="G44" s="71"/>
      <c r="H44" s="56" t="s">
        <v>67</v>
      </c>
      <c r="I44" s="2">
        <v>1</v>
      </c>
      <c r="J44" s="76" t="s">
        <v>9</v>
      </c>
    </row>
    <row r="45" spans="2:10" ht="16.5" customHeight="1" x14ac:dyDescent="0.25">
      <c r="C45" s="68"/>
      <c r="D45" s="70"/>
      <c r="E45" s="74"/>
      <c r="F45" s="70"/>
      <c r="H45" s="50"/>
      <c r="I45" s="51"/>
      <c r="J45" s="50"/>
    </row>
    <row r="46" spans="2:10" ht="16.5" customHeight="1" thickBot="1" x14ac:dyDescent="0.3">
      <c r="B46" s="67" t="s">
        <v>109</v>
      </c>
      <c r="C46" s="77"/>
      <c r="D46" s="68"/>
      <c r="E46" s="69"/>
      <c r="F46" s="70"/>
      <c r="G46" s="71"/>
      <c r="H46" s="50"/>
      <c r="I46" s="51"/>
      <c r="J46" s="50"/>
    </row>
    <row r="47" spans="2:10" ht="16.5" customHeight="1" thickBot="1" x14ac:dyDescent="0.3">
      <c r="B47" s="67"/>
      <c r="C47" s="32" t="s">
        <v>58</v>
      </c>
      <c r="D47" s="33" t="s">
        <v>61</v>
      </c>
      <c r="E47" s="34" t="s">
        <v>60</v>
      </c>
      <c r="F47" s="35" t="s">
        <v>59</v>
      </c>
      <c r="G47" s="71"/>
      <c r="H47" s="50"/>
      <c r="I47" s="51"/>
      <c r="J47" s="50"/>
    </row>
    <row r="48" spans="2:10" ht="16.5" customHeight="1" thickTop="1" x14ac:dyDescent="0.25">
      <c r="B48" s="68"/>
      <c r="C48" s="42" t="s">
        <v>110</v>
      </c>
      <c r="D48" s="72" t="s">
        <v>53</v>
      </c>
      <c r="E48" s="6">
        <v>20</v>
      </c>
      <c r="F48" s="46" t="s">
        <v>54</v>
      </c>
      <c r="G48" s="71"/>
      <c r="H48" s="50"/>
      <c r="I48" s="51"/>
      <c r="J48" s="50"/>
    </row>
    <row r="49" spans="2:10" ht="16.5" customHeight="1" x14ac:dyDescent="0.25">
      <c r="B49" s="68"/>
      <c r="C49" s="42" t="s">
        <v>111</v>
      </c>
      <c r="D49" s="72" t="s">
        <v>55</v>
      </c>
      <c r="E49" s="6">
        <v>330</v>
      </c>
      <c r="F49" s="46" t="s">
        <v>1</v>
      </c>
      <c r="G49" s="71"/>
      <c r="H49" s="50"/>
      <c r="I49" s="104" t="s">
        <v>132</v>
      </c>
      <c r="J49" s="50"/>
    </row>
    <row r="50" spans="2:10" ht="16.5" customHeight="1" x14ac:dyDescent="0.25">
      <c r="B50" s="68"/>
      <c r="C50" s="42" t="s">
        <v>112</v>
      </c>
      <c r="D50" s="72" t="s">
        <v>147</v>
      </c>
      <c r="E50" s="10">
        <f>(2*E13*E48/(E16^2-E49^2))*10^3</f>
        <v>166.66666666666666</v>
      </c>
      <c r="F50" s="46" t="s">
        <v>52</v>
      </c>
      <c r="G50" s="71"/>
      <c r="H50" s="56" t="s">
        <v>68</v>
      </c>
      <c r="I50" s="2">
        <v>164</v>
      </c>
      <c r="J50" s="76" t="s">
        <v>9</v>
      </c>
    </row>
    <row r="51" spans="2:10" ht="16.5" customHeight="1" thickBot="1" x14ac:dyDescent="0.3">
      <c r="B51" s="68"/>
      <c r="C51" s="47" t="s">
        <v>113</v>
      </c>
      <c r="D51" s="78" t="s">
        <v>56</v>
      </c>
      <c r="E51" s="18">
        <f>E13/E16/(2*PI()*E12*I50/1000000)</f>
        <v>9.5298556799266709</v>
      </c>
      <c r="F51" s="49" t="s">
        <v>14</v>
      </c>
      <c r="G51" s="71"/>
      <c r="H51" s="50"/>
      <c r="I51" s="51"/>
      <c r="J51" s="50"/>
    </row>
    <row r="52" spans="2:10" ht="16.5" customHeight="1" x14ac:dyDescent="0.25">
      <c r="B52" s="68"/>
      <c r="C52" s="68"/>
      <c r="D52" s="68"/>
      <c r="E52" s="69"/>
      <c r="F52" s="70"/>
      <c r="G52" s="71"/>
      <c r="H52" s="50"/>
      <c r="I52" s="51"/>
      <c r="J52" s="50"/>
    </row>
    <row r="53" spans="2:10" ht="16.5" customHeight="1" thickBot="1" x14ac:dyDescent="0.3">
      <c r="B53" s="30" t="s">
        <v>128</v>
      </c>
      <c r="D53" s="70"/>
    </row>
    <row r="54" spans="2:10" ht="16.5" customHeight="1" thickBot="1" x14ac:dyDescent="0.3">
      <c r="B54" s="30"/>
      <c r="C54" s="32" t="s">
        <v>58</v>
      </c>
      <c r="D54" s="33" t="s">
        <v>61</v>
      </c>
      <c r="E54" s="34" t="s">
        <v>60</v>
      </c>
      <c r="F54" s="35" t="s">
        <v>59</v>
      </c>
    </row>
    <row r="55" spans="2:10" ht="16.5" customHeight="1" thickTop="1" x14ac:dyDescent="0.25">
      <c r="B55" s="52"/>
      <c r="C55" s="42" t="s">
        <v>129</v>
      </c>
      <c r="D55" s="72" t="s">
        <v>69</v>
      </c>
      <c r="E55" s="6">
        <v>16500</v>
      </c>
      <c r="F55" s="46" t="s">
        <v>11</v>
      </c>
      <c r="H55" s="50"/>
      <c r="I55" s="104" t="s">
        <v>132</v>
      </c>
    </row>
    <row r="56" spans="2:10" ht="16.5" customHeight="1" x14ac:dyDescent="0.25">
      <c r="C56" s="53" t="s">
        <v>130</v>
      </c>
      <c r="D56" s="45" t="s">
        <v>148</v>
      </c>
      <c r="E56" s="13">
        <f>E57*E55*10^3/(E16-2.5)/1000</f>
        <v>106.45161290322581</v>
      </c>
      <c r="F56" s="54" t="s">
        <v>11</v>
      </c>
      <c r="H56" s="73" t="s">
        <v>70</v>
      </c>
      <c r="I56" s="2">
        <v>106.8</v>
      </c>
      <c r="J56" s="57" t="s">
        <v>11</v>
      </c>
    </row>
    <row r="57" spans="2:10" ht="16.5" customHeight="1" x14ac:dyDescent="0.25">
      <c r="C57" s="53" t="s">
        <v>42</v>
      </c>
      <c r="D57" s="45" t="s">
        <v>41</v>
      </c>
      <c r="E57" s="100">
        <v>2.5</v>
      </c>
      <c r="F57" s="54" t="s">
        <v>14</v>
      </c>
      <c r="H57" s="63"/>
      <c r="I57" s="79"/>
      <c r="J57" s="63"/>
    </row>
    <row r="58" spans="2:10" ht="16.5" customHeight="1" x14ac:dyDescent="0.25">
      <c r="C58" s="80" t="s">
        <v>87</v>
      </c>
      <c r="D58" s="81" t="s">
        <v>21</v>
      </c>
      <c r="E58" s="22">
        <f>(E57/(I56*10^3))*E55*10^3+E57</f>
        <v>388.73595505617982</v>
      </c>
      <c r="F58" s="23" t="s">
        <v>1</v>
      </c>
    </row>
    <row r="59" spans="2:10" ht="16.5" customHeight="1" thickBot="1" x14ac:dyDescent="0.3">
      <c r="C59" s="47" t="s">
        <v>131</v>
      </c>
      <c r="D59" s="61" t="s">
        <v>75</v>
      </c>
      <c r="E59" s="101">
        <v>1</v>
      </c>
      <c r="F59" s="62" t="s">
        <v>78</v>
      </c>
    </row>
    <row r="60" spans="2:10" ht="16.5" customHeight="1" x14ac:dyDescent="0.25"/>
    <row r="61" spans="2:10" ht="16.5" customHeight="1" thickBot="1" x14ac:dyDescent="0.3">
      <c r="B61" s="30" t="s">
        <v>127</v>
      </c>
    </row>
    <row r="62" spans="2:10" ht="16.5" customHeight="1" thickBot="1" x14ac:dyDescent="0.3">
      <c r="B62" s="30"/>
      <c r="C62" s="32" t="s">
        <v>58</v>
      </c>
      <c r="D62" s="33" t="s">
        <v>61</v>
      </c>
      <c r="E62" s="34" t="s">
        <v>60</v>
      </c>
      <c r="F62" s="35" t="s">
        <v>59</v>
      </c>
    </row>
    <row r="63" spans="2:10" ht="16.5" customHeight="1" thickTop="1" x14ac:dyDescent="0.25">
      <c r="C63" s="42" t="s">
        <v>114</v>
      </c>
      <c r="D63" s="82" t="s">
        <v>40</v>
      </c>
      <c r="E63" s="9">
        <f>2*I24*E13/(E10^2*(E14/100))</f>
        <v>8.4210526315789469</v>
      </c>
      <c r="F63" s="46" t="s">
        <v>37</v>
      </c>
    </row>
    <row r="64" spans="2:10" ht="16.5" customHeight="1" x14ac:dyDescent="0.25">
      <c r="C64" s="42" t="s">
        <v>115</v>
      </c>
      <c r="D64" s="82" t="s">
        <v>39</v>
      </c>
      <c r="E64" s="9">
        <f>2*I24*E13/(E11^2*(E14/100))</f>
        <v>0.97868638538495001</v>
      </c>
      <c r="F64" s="46" t="s">
        <v>37</v>
      </c>
    </row>
    <row r="65" spans="2:10" ht="16.5" customHeight="1" x14ac:dyDescent="0.25">
      <c r="C65" s="42" t="s">
        <v>116</v>
      </c>
      <c r="D65" s="72" t="s">
        <v>38</v>
      </c>
      <c r="E65" s="9">
        <f>2*I24*E13/(E10^2*(E14/100)*0.8)</f>
        <v>10.526315789473685</v>
      </c>
      <c r="F65" s="46" t="s">
        <v>37</v>
      </c>
      <c r="I65" s="27" t="s">
        <v>136</v>
      </c>
    </row>
    <row r="66" spans="2:10" ht="16.5" customHeight="1" x14ac:dyDescent="0.25">
      <c r="C66" s="42" t="s">
        <v>117</v>
      </c>
      <c r="D66" s="45" t="s">
        <v>149</v>
      </c>
      <c r="E66" s="11">
        <f>POWER((E65/1.1146),1/0.6733)</f>
        <v>28.075351240245844</v>
      </c>
      <c r="F66" s="46" t="s">
        <v>43</v>
      </c>
      <c r="H66" s="73" t="s">
        <v>71</v>
      </c>
      <c r="I66" s="2">
        <v>68</v>
      </c>
      <c r="J66" s="83" t="s">
        <v>43</v>
      </c>
    </row>
    <row r="67" spans="2:10" ht="16.5" customHeight="1" x14ac:dyDescent="0.25">
      <c r="C67" s="42" t="s">
        <v>79</v>
      </c>
      <c r="D67" s="45" t="s">
        <v>45</v>
      </c>
      <c r="E67" s="84">
        <f>1.1146*POWER(I66,0.6733)</f>
        <v>19.096214735953502</v>
      </c>
      <c r="F67" s="46" t="s">
        <v>44</v>
      </c>
      <c r="J67" s="85"/>
    </row>
    <row r="68" spans="2:10" ht="16.5" customHeight="1" x14ac:dyDescent="0.25">
      <c r="C68" s="80" t="s">
        <v>118</v>
      </c>
      <c r="D68" s="81" t="s">
        <v>51</v>
      </c>
      <c r="E68" s="86">
        <f>0.2267*POWER(I66,0.3612)</f>
        <v>1.0407675415186666</v>
      </c>
      <c r="F68" s="87" t="s">
        <v>50</v>
      </c>
      <c r="I68" s="85" t="s">
        <v>145</v>
      </c>
    </row>
    <row r="69" spans="2:10" ht="16.5" customHeight="1" thickBot="1" x14ac:dyDescent="0.3">
      <c r="C69" s="47" t="s">
        <v>155</v>
      </c>
      <c r="D69" s="61" t="s">
        <v>77</v>
      </c>
      <c r="E69" s="102">
        <v>10</v>
      </c>
      <c r="F69" s="49" t="s">
        <v>78</v>
      </c>
    </row>
    <row r="70" spans="2:10" ht="16.5" customHeight="1" x14ac:dyDescent="0.25"/>
    <row r="71" spans="2:10" ht="16.5" customHeight="1" thickBot="1" x14ac:dyDescent="0.3">
      <c r="B71" s="30" t="s">
        <v>151</v>
      </c>
      <c r="H71" s="111"/>
      <c r="I71" s="111"/>
    </row>
    <row r="72" spans="2:10" ht="16.5" customHeight="1" thickBot="1" x14ac:dyDescent="0.3">
      <c r="B72" s="30"/>
      <c r="C72" s="32" t="s">
        <v>58</v>
      </c>
      <c r="D72" s="33" t="s">
        <v>61</v>
      </c>
      <c r="E72" s="34" t="s">
        <v>60</v>
      </c>
      <c r="F72" s="35" t="s">
        <v>59</v>
      </c>
      <c r="H72" s="55"/>
      <c r="I72" s="55"/>
    </row>
    <row r="73" spans="2:10" ht="16.5" customHeight="1" thickTop="1" x14ac:dyDescent="0.25">
      <c r="C73" s="42" t="s">
        <v>152</v>
      </c>
      <c r="D73" s="72" t="s">
        <v>153</v>
      </c>
      <c r="E73" s="6">
        <v>47</v>
      </c>
      <c r="F73" s="46" t="s">
        <v>8</v>
      </c>
      <c r="H73" s="50"/>
      <c r="I73" s="104" t="s">
        <v>132</v>
      </c>
    </row>
    <row r="74" spans="2:10" ht="16.5" customHeight="1" x14ac:dyDescent="0.25">
      <c r="C74" s="42" t="s">
        <v>119</v>
      </c>
      <c r="D74" s="72" t="s">
        <v>150</v>
      </c>
      <c r="E74" s="19">
        <f>(1/(2*PI()*E73*1500*1000))*10^12</f>
        <v>2257.5169232892954</v>
      </c>
      <c r="F74" s="46" t="s">
        <v>10</v>
      </c>
      <c r="H74" s="73" t="s">
        <v>150</v>
      </c>
      <c r="I74" s="2">
        <v>2200</v>
      </c>
      <c r="J74" s="57" t="s">
        <v>10</v>
      </c>
    </row>
    <row r="75" spans="2:10" ht="16.5" customHeight="1" thickBot="1" x14ac:dyDescent="0.3">
      <c r="C75" s="47" t="s">
        <v>120</v>
      </c>
      <c r="D75" s="48" t="s">
        <v>33</v>
      </c>
      <c r="E75" s="20">
        <f>(1/(2*PI()*E73*(I74/10^12)))/1000</f>
        <v>1539.2160840608833</v>
      </c>
      <c r="F75" s="49" t="s">
        <v>5</v>
      </c>
    </row>
    <row r="76" spans="2:10" ht="16.5" customHeight="1" x14ac:dyDescent="0.25"/>
    <row r="77" spans="2:10" ht="16.5" customHeight="1" thickBot="1" x14ac:dyDescent="0.3">
      <c r="B77" s="30" t="s">
        <v>126</v>
      </c>
    </row>
    <row r="78" spans="2:10" ht="16.5" customHeight="1" thickBot="1" x14ac:dyDescent="0.3">
      <c r="B78" s="30"/>
      <c r="C78" s="32" t="s">
        <v>58</v>
      </c>
      <c r="D78" s="33" t="s">
        <v>61</v>
      </c>
      <c r="E78" s="34" t="s">
        <v>60</v>
      </c>
      <c r="F78" s="35" t="s">
        <v>59</v>
      </c>
    </row>
    <row r="79" spans="2:10" ht="16.5" customHeight="1" thickTop="1" x14ac:dyDescent="0.25">
      <c r="C79" s="53" t="s">
        <v>121</v>
      </c>
      <c r="D79" s="45" t="s">
        <v>46</v>
      </c>
      <c r="E79" s="6">
        <v>450</v>
      </c>
      <c r="F79" s="54" t="s">
        <v>47</v>
      </c>
    </row>
    <row r="80" spans="2:10" ht="16.5" customHeight="1" x14ac:dyDescent="0.25">
      <c r="C80" s="42" t="s">
        <v>122</v>
      </c>
      <c r="D80" s="72" t="s">
        <v>72</v>
      </c>
      <c r="E80" s="6">
        <v>16500</v>
      </c>
      <c r="F80" s="46" t="s">
        <v>48</v>
      </c>
      <c r="H80" s="50"/>
      <c r="I80" s="104" t="s">
        <v>132</v>
      </c>
    </row>
    <row r="81" spans="1:22" ht="16.5" customHeight="1" x14ac:dyDescent="0.25">
      <c r="C81" s="53" t="s">
        <v>123</v>
      </c>
      <c r="D81" s="45" t="s">
        <v>73</v>
      </c>
      <c r="E81" s="9">
        <f>(E57*1.095)/((E79-(E57*1.095))/E80)</f>
        <v>100.98935189066823</v>
      </c>
      <c r="F81" s="54" t="s">
        <v>48</v>
      </c>
      <c r="H81" s="73" t="s">
        <v>74</v>
      </c>
      <c r="I81" s="2">
        <v>100</v>
      </c>
      <c r="J81" s="57" t="s">
        <v>48</v>
      </c>
    </row>
    <row r="82" spans="1:22" ht="16.5" customHeight="1" x14ac:dyDescent="0.25">
      <c r="C82" s="88" t="s">
        <v>124</v>
      </c>
      <c r="D82" s="81" t="s">
        <v>49</v>
      </c>
      <c r="E82" s="89">
        <f>E57*1.095*(E80+I81)/I81</f>
        <v>454.42500000000001</v>
      </c>
      <c r="F82" s="23" t="s">
        <v>47</v>
      </c>
    </row>
    <row r="83" spans="1:22" ht="16.5" customHeight="1" thickBot="1" x14ac:dyDescent="0.3">
      <c r="C83" s="90" t="s">
        <v>125</v>
      </c>
      <c r="D83" s="61" t="s">
        <v>76</v>
      </c>
      <c r="E83" s="103">
        <v>1</v>
      </c>
      <c r="F83" s="62" t="s">
        <v>78</v>
      </c>
      <c r="G83" s="91"/>
      <c r="H83" s="64"/>
      <c r="I83" s="85" t="s">
        <v>137</v>
      </c>
      <c r="J83" s="64"/>
    </row>
    <row r="84" spans="1:22" ht="16.5" customHeight="1" x14ac:dyDescent="0.25">
      <c r="K84" s="92"/>
      <c r="L84" s="92"/>
    </row>
    <row r="85" spans="1:22" ht="16.5" customHeight="1" thickBot="1" x14ac:dyDescent="0.3">
      <c r="A85" s="108"/>
      <c r="B85" s="94" t="s">
        <v>138</v>
      </c>
      <c r="C85" s="95"/>
      <c r="D85" s="96"/>
      <c r="E85" s="21"/>
      <c r="F85" s="96"/>
      <c r="G85" s="91"/>
      <c r="H85" s="91"/>
      <c r="I85" s="91"/>
      <c r="J85" s="91"/>
      <c r="K85" s="26"/>
      <c r="L85" s="26"/>
    </row>
    <row r="86" spans="1:22" ht="16.5" customHeight="1" thickBot="1" x14ac:dyDescent="0.3">
      <c r="A86" s="108"/>
      <c r="B86" s="93"/>
      <c r="C86" s="32" t="s">
        <v>58</v>
      </c>
      <c r="D86" s="33" t="s">
        <v>61</v>
      </c>
      <c r="E86" s="34" t="s">
        <v>60</v>
      </c>
      <c r="F86" s="35" t="s">
        <v>59</v>
      </c>
      <c r="H86" s="50"/>
      <c r="I86" s="104" t="s">
        <v>132</v>
      </c>
      <c r="K86" s="26"/>
      <c r="L86" s="26"/>
    </row>
    <row r="87" spans="1:22" ht="16.5" customHeight="1" thickTop="1" x14ac:dyDescent="0.25">
      <c r="A87" s="108"/>
      <c r="B87" s="93"/>
      <c r="C87" s="53" t="s">
        <v>139</v>
      </c>
      <c r="D87" s="45" t="s">
        <v>142</v>
      </c>
      <c r="E87" s="109">
        <f>4/E16*E51</f>
        <v>9.774210953770944E-2</v>
      </c>
      <c r="F87" s="54" t="s">
        <v>52</v>
      </c>
      <c r="H87" s="45" t="s">
        <v>142</v>
      </c>
      <c r="I87" s="2">
        <v>0.1</v>
      </c>
      <c r="J87" s="45" t="s">
        <v>52</v>
      </c>
      <c r="K87" s="26"/>
      <c r="L87" s="26"/>
    </row>
    <row r="88" spans="1:22" ht="16.5" customHeight="1" x14ac:dyDescent="0.25">
      <c r="A88" s="108"/>
      <c r="B88" s="93"/>
      <c r="C88" s="42" t="s">
        <v>140</v>
      </c>
      <c r="D88" s="72" t="s">
        <v>143</v>
      </c>
      <c r="E88" s="109">
        <f>20/E16*E51</f>
        <v>0.48871054768854721</v>
      </c>
      <c r="F88" s="46" t="s">
        <v>9</v>
      </c>
      <c r="H88" s="72" t="s">
        <v>143</v>
      </c>
      <c r="I88" s="2">
        <v>0.47</v>
      </c>
      <c r="J88" s="72" t="s">
        <v>9</v>
      </c>
      <c r="K88" s="26"/>
      <c r="L88" s="26"/>
    </row>
    <row r="89" spans="1:22" ht="16.5" customHeight="1" thickBot="1" x14ac:dyDescent="0.3">
      <c r="A89" s="108"/>
      <c r="B89" s="93"/>
      <c r="C89" s="60" t="s">
        <v>141</v>
      </c>
      <c r="D89" s="61" t="s">
        <v>144</v>
      </c>
      <c r="E89" s="110">
        <f>0.3*E16/E51</f>
        <v>12.277205860152153</v>
      </c>
      <c r="F89" s="62" t="s">
        <v>11</v>
      </c>
      <c r="H89" s="45" t="s">
        <v>144</v>
      </c>
      <c r="I89" s="2">
        <v>12</v>
      </c>
      <c r="J89" s="45" t="s">
        <v>11</v>
      </c>
      <c r="K89" s="26"/>
      <c r="L89" s="26"/>
    </row>
    <row r="90" spans="1:22" ht="16.5" customHeight="1" x14ac:dyDescent="0.25">
      <c r="A90" s="108"/>
      <c r="B90" s="93"/>
      <c r="C90" s="93"/>
      <c r="D90" s="93"/>
      <c r="E90" s="93"/>
      <c r="F90" s="93"/>
      <c r="H90" s="26"/>
      <c r="I90" s="85" t="s">
        <v>146</v>
      </c>
      <c r="J90" s="26"/>
      <c r="K90" s="26"/>
      <c r="L90" s="26"/>
    </row>
    <row r="91" spans="1:22" ht="16.5" customHeight="1" x14ac:dyDescent="0.25">
      <c r="A91" s="108"/>
      <c r="B91" s="93"/>
      <c r="C91" s="93"/>
      <c r="D91" s="93"/>
      <c r="E91" s="93"/>
      <c r="F91" s="93"/>
      <c r="H91" s="26"/>
      <c r="I91" s="26"/>
      <c r="J91" s="26"/>
      <c r="K91" s="26"/>
      <c r="L91" s="26"/>
    </row>
    <row r="92" spans="1:22" ht="16.5" customHeight="1" x14ac:dyDescent="0.25">
      <c r="A92" s="108"/>
      <c r="B92" s="93"/>
      <c r="C92" s="93"/>
      <c r="D92" s="93"/>
      <c r="E92" s="93"/>
      <c r="F92" s="93"/>
      <c r="P92" s="91"/>
      <c r="Q92" s="91"/>
      <c r="R92" s="91"/>
      <c r="U92" s="91"/>
      <c r="V92" s="91"/>
    </row>
    <row r="93" spans="1:22" ht="16.5" customHeight="1" x14ac:dyDescent="0.25">
      <c r="A93" s="108"/>
      <c r="B93" s="93"/>
      <c r="C93" s="93"/>
      <c r="D93" s="93"/>
      <c r="E93" s="93"/>
      <c r="F93" s="93"/>
      <c r="P93" s="91"/>
      <c r="Q93" s="91"/>
      <c r="R93" s="91"/>
      <c r="U93" s="91"/>
      <c r="V93" s="91"/>
    </row>
    <row r="94" spans="1:22" ht="16.5" customHeight="1" x14ac:dyDescent="0.25">
      <c r="A94" s="108"/>
      <c r="B94" s="93"/>
      <c r="C94" s="93"/>
      <c r="D94" s="93"/>
      <c r="E94" s="93"/>
      <c r="F94" s="93"/>
      <c r="P94" s="91"/>
      <c r="Q94" s="91"/>
      <c r="R94" s="91"/>
      <c r="U94" s="91"/>
      <c r="V94" s="91"/>
    </row>
    <row r="95" spans="1:22" ht="16.5" customHeight="1" x14ac:dyDescent="0.25">
      <c r="A95" s="108"/>
      <c r="B95" s="93"/>
      <c r="C95" s="93"/>
      <c r="D95" s="93"/>
      <c r="E95" s="93"/>
      <c r="F95" s="93"/>
      <c r="P95" s="91"/>
      <c r="Q95" s="91"/>
      <c r="R95" s="91"/>
      <c r="U95" s="91"/>
      <c r="V95" s="91"/>
    </row>
    <row r="96" spans="1:22" ht="16.5" customHeight="1" x14ac:dyDescent="0.25">
      <c r="A96" s="108"/>
      <c r="B96" s="93"/>
      <c r="C96" s="93"/>
      <c r="D96" s="97"/>
      <c r="E96" s="93"/>
      <c r="F96" s="93"/>
      <c r="P96" s="91"/>
      <c r="Q96" s="91"/>
      <c r="R96" s="91"/>
      <c r="U96" s="91"/>
      <c r="V96" s="91"/>
    </row>
    <row r="97" spans="1:22" ht="16.5" customHeight="1" x14ac:dyDescent="0.25">
      <c r="A97" s="108"/>
      <c r="B97" s="93"/>
      <c r="C97" s="93"/>
      <c r="D97" s="93"/>
      <c r="E97" s="93"/>
      <c r="F97" s="93"/>
      <c r="P97" s="98"/>
      <c r="Q97" s="91"/>
      <c r="R97" s="91"/>
      <c r="U97" s="91"/>
      <c r="V97" s="91"/>
    </row>
    <row r="98" spans="1:22" ht="16.5" customHeight="1" x14ac:dyDescent="0.25">
      <c r="A98" s="108"/>
      <c r="B98" s="93"/>
      <c r="C98" s="93"/>
      <c r="D98" s="93"/>
      <c r="E98" s="93"/>
      <c r="F98" s="93"/>
      <c r="P98" s="91"/>
      <c r="Q98" s="91"/>
      <c r="R98" s="91"/>
      <c r="U98" s="91"/>
      <c r="V98" s="91"/>
    </row>
    <row r="99" spans="1:22" ht="16.5" customHeight="1" x14ac:dyDescent="0.25">
      <c r="A99" s="108"/>
      <c r="B99" s="93"/>
      <c r="C99" s="93"/>
      <c r="D99" s="93"/>
      <c r="E99" s="93"/>
      <c r="F99" s="99"/>
      <c r="P99" s="91"/>
      <c r="Q99" s="91"/>
      <c r="R99" s="91"/>
      <c r="U99" s="91"/>
      <c r="V99" s="91"/>
    </row>
    <row r="100" spans="1:22" ht="16.5" customHeight="1" x14ac:dyDescent="0.25">
      <c r="A100" s="108"/>
      <c r="B100" s="93"/>
      <c r="C100" s="93"/>
      <c r="D100" s="93"/>
      <c r="E100" s="93"/>
      <c r="F100" s="93"/>
      <c r="P100" s="91"/>
      <c r="Q100" s="91"/>
      <c r="R100" s="91"/>
      <c r="U100" s="91"/>
      <c r="V100" s="91"/>
    </row>
    <row r="101" spans="1:22" ht="16.5" customHeight="1" x14ac:dyDescent="0.25">
      <c r="A101" s="108"/>
      <c r="B101" s="93"/>
      <c r="C101" s="93"/>
      <c r="D101" s="93"/>
      <c r="E101" s="93"/>
      <c r="F101" s="93"/>
      <c r="P101" s="91"/>
      <c r="Q101" s="91"/>
      <c r="R101" s="91"/>
      <c r="U101" s="91"/>
      <c r="V101" s="91"/>
    </row>
    <row r="102" spans="1:22" ht="16.5" customHeight="1" x14ac:dyDescent="0.25">
      <c r="A102" s="108"/>
      <c r="B102" s="93"/>
      <c r="C102" s="93"/>
      <c r="D102" s="93"/>
      <c r="E102" s="93"/>
      <c r="F102" s="93"/>
      <c r="P102" s="91"/>
      <c r="Q102" s="91"/>
      <c r="R102" s="91"/>
      <c r="U102" s="91"/>
      <c r="V102" s="91"/>
    </row>
    <row r="103" spans="1:22" ht="16.5" customHeight="1" x14ac:dyDescent="0.25">
      <c r="A103" s="108"/>
      <c r="B103" s="93"/>
      <c r="C103" s="93"/>
      <c r="D103" s="93"/>
      <c r="E103" s="93"/>
      <c r="F103" s="93"/>
      <c r="P103" s="91"/>
      <c r="Q103" s="91"/>
      <c r="R103" s="91"/>
      <c r="U103" s="91"/>
      <c r="V103" s="91"/>
    </row>
    <row r="104" spans="1:22" ht="16.5" customHeight="1" x14ac:dyDescent="0.25">
      <c r="A104" s="108"/>
      <c r="B104" s="93"/>
      <c r="C104" s="93"/>
      <c r="D104" s="93"/>
      <c r="E104" s="93"/>
      <c r="F104" s="93"/>
      <c r="P104" s="91"/>
      <c r="Q104" s="91"/>
      <c r="R104" s="91"/>
      <c r="U104" s="91"/>
      <c r="V104" s="91"/>
    </row>
    <row r="105" spans="1:22" ht="16.5" customHeight="1" x14ac:dyDescent="0.25">
      <c r="A105" s="108"/>
      <c r="B105" s="93"/>
      <c r="C105" s="93"/>
      <c r="D105" s="93"/>
      <c r="E105" s="93"/>
      <c r="F105" s="93"/>
      <c r="P105" s="98"/>
      <c r="U105" s="91"/>
      <c r="V105" s="98"/>
    </row>
    <row r="106" spans="1:22" ht="16.5" customHeight="1" x14ac:dyDescent="0.25">
      <c r="A106" s="108"/>
      <c r="B106" s="93"/>
      <c r="C106" s="93"/>
      <c r="D106" s="93"/>
      <c r="E106" s="93"/>
      <c r="F106" s="93"/>
      <c r="P106" s="91"/>
      <c r="U106" s="91"/>
      <c r="V106" s="91"/>
    </row>
    <row r="107" spans="1:22" ht="16.5" customHeight="1" x14ac:dyDescent="0.25">
      <c r="A107" s="108"/>
      <c r="B107" s="93"/>
      <c r="C107" s="93"/>
      <c r="D107" s="93"/>
      <c r="E107" s="93"/>
      <c r="F107" s="99"/>
      <c r="P107" s="91"/>
      <c r="U107" s="91"/>
      <c r="V107" s="91"/>
    </row>
    <row r="108" spans="1:22" ht="16.5" customHeight="1" x14ac:dyDescent="0.25">
      <c r="A108" s="108"/>
      <c r="B108" s="93"/>
      <c r="C108" s="93"/>
      <c r="D108" s="93"/>
      <c r="E108" s="93"/>
      <c r="F108" s="93"/>
      <c r="P108" s="91"/>
      <c r="V108" s="91"/>
    </row>
    <row r="109" spans="1:22" ht="16.5" customHeight="1" x14ac:dyDescent="0.25">
      <c r="A109" s="108"/>
      <c r="B109" s="93"/>
      <c r="C109" s="93"/>
      <c r="D109" s="93"/>
      <c r="E109" s="93"/>
      <c r="F109" s="93"/>
      <c r="P109" s="91"/>
      <c r="Q109" s="91"/>
      <c r="V109" s="91"/>
    </row>
    <row r="110" spans="1:22" ht="16.5" customHeight="1" x14ac:dyDescent="0.25">
      <c r="A110" s="108"/>
      <c r="B110" s="93"/>
      <c r="C110" s="93"/>
      <c r="D110" s="93"/>
      <c r="E110" s="93"/>
      <c r="F110" s="93"/>
      <c r="P110" s="91"/>
      <c r="Q110" s="91"/>
      <c r="V110" s="91"/>
    </row>
    <row r="111" spans="1:22" ht="16.5" customHeight="1" x14ac:dyDescent="0.25">
      <c r="A111" s="108"/>
      <c r="B111" s="93"/>
      <c r="C111" s="93"/>
      <c r="D111" s="93"/>
      <c r="E111" s="93"/>
      <c r="F111" s="93"/>
      <c r="P111" s="91"/>
      <c r="Q111" s="91"/>
      <c r="V111" s="91"/>
    </row>
    <row r="112" spans="1:22" ht="16.5" customHeight="1" x14ac:dyDescent="0.25">
      <c r="A112" s="108"/>
      <c r="B112" s="93"/>
      <c r="C112" s="93"/>
      <c r="D112" s="93"/>
      <c r="E112" s="93"/>
      <c r="F112" s="93"/>
      <c r="P112" s="91"/>
      <c r="Q112" s="91"/>
      <c r="V112" s="91"/>
    </row>
    <row r="113" spans="1:22" ht="16.5" customHeight="1" x14ac:dyDescent="0.25">
      <c r="A113" s="108"/>
      <c r="B113" s="93"/>
      <c r="C113" s="93"/>
      <c r="D113" s="93"/>
      <c r="E113" s="93"/>
      <c r="F113" s="93"/>
      <c r="P113" s="98"/>
      <c r="Q113" s="91"/>
      <c r="R113" s="91"/>
      <c r="V113" s="91"/>
    </row>
    <row r="114" spans="1:22" ht="16.5" customHeight="1" x14ac:dyDescent="0.25">
      <c r="A114" s="108"/>
      <c r="B114" s="93"/>
      <c r="C114" s="93"/>
      <c r="D114" s="93"/>
      <c r="E114" s="93"/>
      <c r="F114" s="93"/>
      <c r="P114" s="91"/>
      <c r="Q114" s="91"/>
      <c r="R114" s="91"/>
      <c r="V114" s="91"/>
    </row>
    <row r="115" spans="1:22" ht="16.5" customHeight="1" x14ac:dyDescent="0.25">
      <c r="A115" s="108"/>
      <c r="B115" s="93"/>
      <c r="C115" s="93"/>
      <c r="D115" s="93"/>
      <c r="E115" s="93"/>
      <c r="F115" s="99"/>
      <c r="P115" s="91"/>
      <c r="Q115" s="91"/>
      <c r="R115" s="91"/>
      <c r="V115" s="91"/>
    </row>
    <row r="116" spans="1:22" ht="16.5" customHeight="1" x14ac:dyDescent="0.25">
      <c r="A116" s="108"/>
      <c r="B116" s="93"/>
      <c r="C116" s="93"/>
      <c r="D116" s="93"/>
      <c r="E116" s="93"/>
      <c r="F116" s="93"/>
    </row>
    <row r="117" spans="1:22" ht="13.5" customHeight="1" x14ac:dyDescent="0.25">
      <c r="A117" s="108"/>
      <c r="B117" s="93"/>
      <c r="C117" s="93"/>
      <c r="D117" s="93"/>
      <c r="E117" s="93"/>
      <c r="F117" s="93"/>
    </row>
    <row r="118" spans="1:22" ht="13.5" customHeight="1" x14ac:dyDescent="0.25">
      <c r="A118" s="108"/>
      <c r="B118" s="93"/>
      <c r="C118" s="93"/>
      <c r="D118" s="93"/>
      <c r="E118" s="93"/>
      <c r="F118" s="93"/>
    </row>
    <row r="119" spans="1:22" ht="13.5" customHeight="1" x14ac:dyDescent="0.25">
      <c r="A119" s="108"/>
      <c r="B119" s="93"/>
      <c r="C119" s="93"/>
      <c r="D119" s="93"/>
      <c r="E119" s="93"/>
      <c r="F119" s="93"/>
      <c r="H119" s="26"/>
      <c r="I119" s="26"/>
      <c r="J119" s="26"/>
      <c r="K119" s="26"/>
      <c r="L119" s="26"/>
    </row>
    <row r="120" spans="1:22" ht="13.5" customHeight="1" x14ac:dyDescent="0.25">
      <c r="A120" s="108"/>
      <c r="B120" s="93"/>
      <c r="C120" s="93"/>
      <c r="D120" s="93"/>
      <c r="E120" s="93"/>
      <c r="F120" s="93"/>
      <c r="H120" s="26"/>
      <c r="I120" s="26"/>
      <c r="J120" s="26"/>
      <c r="K120" s="26"/>
      <c r="L120" s="26"/>
    </row>
    <row r="121" spans="1:22" ht="13.5" customHeight="1" x14ac:dyDescent="0.25">
      <c r="A121" s="108"/>
      <c r="B121" s="93"/>
      <c r="C121" s="93"/>
      <c r="D121" s="93"/>
      <c r="E121" s="93"/>
      <c r="F121" s="93"/>
      <c r="H121" s="26"/>
      <c r="I121" s="26"/>
      <c r="J121" s="26"/>
      <c r="K121" s="26"/>
      <c r="L121" s="26"/>
    </row>
    <row r="122" spans="1:22" ht="13.5" customHeight="1" x14ac:dyDescent="0.25">
      <c r="A122" s="108"/>
      <c r="B122" s="93"/>
      <c r="C122" s="93"/>
      <c r="D122" s="93"/>
      <c r="E122" s="93"/>
      <c r="F122" s="93"/>
      <c r="H122" s="26"/>
      <c r="I122" s="26"/>
      <c r="J122" s="26"/>
      <c r="K122" s="26"/>
      <c r="L122" s="26"/>
    </row>
    <row r="123" spans="1:22" ht="13.5" customHeight="1" x14ac:dyDescent="0.25">
      <c r="A123" s="108"/>
      <c r="B123" s="93"/>
      <c r="C123" s="93"/>
      <c r="D123" s="93"/>
      <c r="E123" s="93"/>
      <c r="F123" s="99"/>
      <c r="H123" s="26"/>
      <c r="I123" s="26"/>
      <c r="J123" s="26"/>
      <c r="K123" s="26"/>
      <c r="L123" s="26"/>
    </row>
    <row r="124" spans="1:22" ht="13.5" customHeight="1" x14ac:dyDescent="0.25">
      <c r="A124" s="108"/>
      <c r="B124" s="93"/>
      <c r="C124" s="93"/>
      <c r="D124" s="93"/>
      <c r="E124" s="93"/>
      <c r="F124" s="93"/>
      <c r="H124" s="26"/>
      <c r="I124" s="26"/>
      <c r="J124" s="26"/>
      <c r="K124" s="26"/>
      <c r="L124" s="26"/>
    </row>
    <row r="125" spans="1:22" ht="13.5" customHeight="1" x14ac:dyDescent="0.25">
      <c r="A125" s="108"/>
      <c r="B125" s="93"/>
      <c r="C125" s="93"/>
      <c r="D125" s="93"/>
      <c r="E125" s="93"/>
      <c r="F125" s="93"/>
      <c r="H125" s="26"/>
      <c r="I125" s="26"/>
      <c r="J125" s="26"/>
      <c r="K125" s="26"/>
      <c r="L125" s="26"/>
    </row>
    <row r="126" spans="1:22" ht="13.5" customHeight="1" x14ac:dyDescent="0.25">
      <c r="A126" s="108"/>
      <c r="B126" s="93"/>
      <c r="C126" s="93"/>
      <c r="D126" s="93"/>
      <c r="E126" s="93"/>
      <c r="F126" s="93"/>
      <c r="H126" s="26"/>
      <c r="I126" s="26"/>
      <c r="J126" s="26"/>
      <c r="K126" s="26"/>
      <c r="L126" s="26"/>
    </row>
    <row r="127" spans="1:22" ht="13.5" customHeight="1" x14ac:dyDescent="0.25">
      <c r="A127" s="108"/>
      <c r="B127" s="93"/>
      <c r="C127" s="93"/>
      <c r="D127" s="93"/>
      <c r="E127" s="93"/>
      <c r="F127" s="93"/>
      <c r="H127" s="26"/>
      <c r="I127" s="26"/>
      <c r="J127" s="26"/>
      <c r="K127" s="26"/>
      <c r="L127" s="26"/>
    </row>
    <row r="128" spans="1:22" ht="13.5" customHeight="1" x14ac:dyDescent="0.25">
      <c r="A128" s="108"/>
      <c r="B128" s="93"/>
      <c r="C128" s="93"/>
      <c r="D128" s="93"/>
      <c r="E128" s="93"/>
      <c r="F128" s="93"/>
      <c r="H128" s="26"/>
      <c r="I128" s="26"/>
      <c r="J128" s="26"/>
      <c r="K128" s="26"/>
      <c r="L128" s="26"/>
    </row>
    <row r="129" spans="1:12" ht="13.5" customHeight="1" x14ac:dyDescent="0.25">
      <c r="A129" s="108"/>
      <c r="B129" s="93"/>
      <c r="C129" s="93"/>
      <c r="D129" s="93"/>
      <c r="E129" s="93"/>
      <c r="F129" s="93"/>
      <c r="H129" s="26"/>
      <c r="I129" s="26"/>
      <c r="J129" s="26"/>
      <c r="K129" s="26"/>
      <c r="L129" s="26"/>
    </row>
    <row r="130" spans="1:12" ht="13.5" customHeight="1" x14ac:dyDescent="0.25">
      <c r="A130" s="108"/>
      <c r="B130" s="93"/>
      <c r="C130" s="93"/>
      <c r="D130" s="93"/>
      <c r="E130" s="93"/>
      <c r="F130" s="93"/>
      <c r="H130" s="26"/>
      <c r="I130" s="26"/>
      <c r="J130" s="26"/>
      <c r="K130" s="26"/>
      <c r="L130" s="26"/>
    </row>
    <row r="131" spans="1:12" ht="13.5" customHeight="1" x14ac:dyDescent="0.25">
      <c r="A131" s="108"/>
      <c r="B131" s="93"/>
      <c r="C131" s="93"/>
      <c r="D131" s="93"/>
      <c r="E131" s="93"/>
      <c r="F131" s="93"/>
      <c r="H131" s="26"/>
      <c r="I131" s="26"/>
      <c r="J131" s="26"/>
      <c r="K131" s="26"/>
      <c r="L131" s="26"/>
    </row>
    <row r="132" spans="1:12" ht="13.5" customHeight="1" x14ac:dyDescent="0.25">
      <c r="A132" s="108"/>
      <c r="B132" s="93"/>
      <c r="C132" s="93"/>
      <c r="D132" s="93"/>
      <c r="E132" s="93"/>
      <c r="F132" s="93"/>
      <c r="H132" s="26"/>
      <c r="I132" s="26"/>
      <c r="J132" s="26"/>
      <c r="K132" s="26"/>
      <c r="L132" s="26"/>
    </row>
    <row r="133" spans="1:12" ht="13.5" customHeight="1" x14ac:dyDescent="0.25">
      <c r="A133" s="108"/>
      <c r="B133" s="93"/>
      <c r="C133" s="93"/>
      <c r="D133" s="93"/>
      <c r="E133" s="93"/>
      <c r="F133" s="93"/>
      <c r="H133" s="26"/>
      <c r="I133" s="26"/>
      <c r="J133" s="26"/>
      <c r="K133" s="26"/>
      <c r="L133" s="26"/>
    </row>
    <row r="134" spans="1:12" ht="13.5" customHeight="1" x14ac:dyDescent="0.25">
      <c r="A134" s="108"/>
      <c r="B134" s="93"/>
      <c r="C134" s="93"/>
      <c r="D134" s="93"/>
      <c r="E134" s="93"/>
      <c r="F134" s="93"/>
      <c r="H134" s="26"/>
      <c r="I134" s="26"/>
      <c r="J134" s="26"/>
      <c r="K134" s="26"/>
      <c r="L134" s="26"/>
    </row>
    <row r="135" spans="1:12" ht="13.5" customHeight="1" x14ac:dyDescent="0.25">
      <c r="A135" s="108"/>
      <c r="B135" s="93"/>
      <c r="C135" s="93"/>
      <c r="D135" s="93"/>
      <c r="E135" s="93"/>
      <c r="F135" s="93"/>
      <c r="H135" s="26"/>
      <c r="I135" s="26"/>
      <c r="J135" s="26"/>
      <c r="K135" s="26"/>
      <c r="L135" s="26"/>
    </row>
    <row r="136" spans="1:12" ht="13.5" customHeight="1" x14ac:dyDescent="0.25">
      <c r="A136" s="108"/>
      <c r="B136" s="93"/>
      <c r="C136" s="93"/>
      <c r="D136" s="93"/>
      <c r="E136" s="93"/>
      <c r="F136" s="93"/>
      <c r="H136" s="26"/>
      <c r="I136" s="26"/>
      <c r="J136" s="26"/>
      <c r="K136" s="26"/>
      <c r="L136" s="26"/>
    </row>
    <row r="137" spans="1:12" ht="13.5" customHeight="1" x14ac:dyDescent="0.25">
      <c r="A137" s="108"/>
      <c r="B137" s="93"/>
      <c r="C137" s="93"/>
      <c r="D137" s="93"/>
      <c r="E137" s="93"/>
      <c r="F137" s="93"/>
      <c r="H137" s="26"/>
      <c r="I137" s="26"/>
      <c r="J137" s="26"/>
      <c r="K137" s="26"/>
      <c r="L137" s="26"/>
    </row>
    <row r="138" spans="1:12" ht="13.5" customHeight="1" x14ac:dyDescent="0.25">
      <c r="A138" s="108"/>
      <c r="B138" s="93"/>
      <c r="C138" s="93"/>
      <c r="D138" s="93"/>
      <c r="E138" s="93"/>
      <c r="F138" s="93"/>
      <c r="H138" s="26"/>
      <c r="I138" s="26"/>
      <c r="J138" s="26"/>
      <c r="K138" s="26"/>
      <c r="L138" s="26"/>
    </row>
    <row r="139" spans="1:12" ht="13.5" customHeight="1" x14ac:dyDescent="0.25">
      <c r="A139" s="108"/>
      <c r="B139" s="93"/>
      <c r="C139" s="93"/>
      <c r="D139" s="93"/>
      <c r="E139" s="93"/>
      <c r="F139" s="93"/>
      <c r="H139" s="26"/>
      <c r="I139" s="26"/>
      <c r="J139" s="26"/>
      <c r="K139" s="26"/>
      <c r="L139" s="26"/>
    </row>
    <row r="140" spans="1:12" ht="13.5" customHeight="1" x14ac:dyDescent="0.25">
      <c r="A140" s="108"/>
      <c r="B140" s="93"/>
      <c r="C140" s="93"/>
      <c r="D140" s="93"/>
      <c r="E140" s="93"/>
      <c r="F140" s="93"/>
      <c r="H140" s="26"/>
      <c r="I140" s="26"/>
      <c r="J140" s="26"/>
      <c r="K140" s="26"/>
      <c r="L140" s="26"/>
    </row>
    <row r="141" spans="1:12" ht="13.5" customHeight="1" x14ac:dyDescent="0.25">
      <c r="A141" s="108"/>
      <c r="B141" s="93"/>
      <c r="C141" s="93"/>
      <c r="D141" s="93"/>
      <c r="E141" s="93"/>
      <c r="F141" s="93"/>
      <c r="H141" s="26"/>
      <c r="I141" s="26"/>
      <c r="J141" s="26"/>
      <c r="K141" s="26"/>
      <c r="L141" s="26"/>
    </row>
    <row r="142" spans="1:12" ht="13.5" customHeight="1" x14ac:dyDescent="0.25">
      <c r="A142" s="108"/>
      <c r="B142" s="93"/>
      <c r="C142" s="93"/>
      <c r="D142" s="93"/>
      <c r="E142" s="93"/>
      <c r="F142" s="93"/>
      <c r="H142" s="26"/>
      <c r="I142" s="26"/>
      <c r="J142" s="26"/>
      <c r="K142" s="26"/>
      <c r="L142" s="26"/>
    </row>
    <row r="143" spans="1:12" ht="13.5" customHeight="1" x14ac:dyDescent="0.25">
      <c r="A143" s="108"/>
      <c r="B143" s="93"/>
      <c r="C143" s="93"/>
      <c r="D143" s="93"/>
      <c r="E143" s="93"/>
      <c r="F143" s="93"/>
      <c r="H143" s="26"/>
      <c r="I143" s="26"/>
      <c r="J143" s="26"/>
      <c r="K143" s="26"/>
      <c r="L143" s="26"/>
    </row>
    <row r="144" spans="1:12" ht="13.5" customHeight="1" x14ac:dyDescent="0.25">
      <c r="A144" s="108"/>
      <c r="B144" s="93"/>
      <c r="C144" s="93"/>
      <c r="D144" s="93"/>
      <c r="E144" s="93"/>
      <c r="F144" s="93"/>
      <c r="H144" s="26"/>
      <c r="I144" s="26"/>
      <c r="J144" s="26"/>
      <c r="K144" s="26"/>
      <c r="L144" s="26"/>
    </row>
    <row r="145" spans="1:12" ht="13.5" customHeight="1" x14ac:dyDescent="0.25">
      <c r="A145" s="108"/>
      <c r="B145" s="93"/>
      <c r="C145" s="93"/>
      <c r="D145" s="93"/>
      <c r="E145" s="93"/>
      <c r="F145" s="93"/>
      <c r="H145" s="26"/>
      <c r="I145" s="26"/>
      <c r="J145" s="26"/>
      <c r="K145" s="26"/>
      <c r="L145" s="26"/>
    </row>
    <row r="146" spans="1:12" ht="13.5" customHeight="1" x14ac:dyDescent="0.25">
      <c r="A146" s="108"/>
      <c r="B146" s="93"/>
      <c r="C146" s="93"/>
      <c r="D146" s="93"/>
      <c r="E146" s="93"/>
      <c r="F146" s="93"/>
      <c r="H146" s="26"/>
      <c r="I146" s="26"/>
      <c r="J146" s="26"/>
      <c r="K146" s="26"/>
      <c r="L146" s="26"/>
    </row>
    <row r="147" spans="1:12" ht="13.5" customHeight="1" x14ac:dyDescent="0.25">
      <c r="A147" s="108"/>
      <c r="B147" s="93"/>
      <c r="C147" s="93"/>
      <c r="D147" s="93"/>
      <c r="E147" s="93"/>
      <c r="F147" s="93"/>
      <c r="H147" s="26"/>
      <c r="I147" s="26"/>
      <c r="J147" s="26"/>
      <c r="K147" s="26"/>
      <c r="L147" s="26"/>
    </row>
    <row r="148" spans="1:12" ht="13.5" customHeight="1" x14ac:dyDescent="0.25">
      <c r="A148" s="108"/>
      <c r="B148" s="93"/>
      <c r="C148" s="93"/>
      <c r="D148" s="93"/>
      <c r="E148" s="93"/>
      <c r="F148" s="93"/>
      <c r="H148" s="26"/>
      <c r="I148" s="26"/>
      <c r="J148" s="26"/>
      <c r="K148" s="26"/>
      <c r="L148" s="26"/>
    </row>
    <row r="149" spans="1:12" ht="13.5" customHeight="1" x14ac:dyDescent="0.25">
      <c r="A149" s="108"/>
      <c r="B149" s="93"/>
      <c r="C149" s="93"/>
      <c r="D149" s="93"/>
      <c r="E149" s="93"/>
      <c r="F149" s="93"/>
      <c r="H149" s="26"/>
      <c r="I149" s="26"/>
      <c r="J149" s="26"/>
      <c r="K149" s="26"/>
      <c r="L149" s="26"/>
    </row>
    <row r="150" spans="1:12" ht="13.5" customHeight="1" x14ac:dyDescent="0.25">
      <c r="A150" s="108"/>
      <c r="B150" s="93"/>
      <c r="C150" s="93"/>
      <c r="D150" s="93"/>
      <c r="E150" s="93"/>
      <c r="F150" s="93"/>
      <c r="H150" s="26"/>
      <c r="I150" s="26"/>
      <c r="J150" s="26"/>
      <c r="K150" s="26"/>
      <c r="L150" s="26"/>
    </row>
    <row r="151" spans="1:12" ht="13.5" customHeight="1" x14ac:dyDescent="0.25"/>
    <row r="152" spans="1:12" ht="13.5" customHeight="1" x14ac:dyDescent="0.25"/>
    <row r="153" spans="1:12" ht="13.5" customHeight="1" x14ac:dyDescent="0.25"/>
    <row r="154" spans="1:12" ht="13.5" customHeight="1" x14ac:dyDescent="0.25"/>
    <row r="155" spans="1:12" ht="13.5" customHeight="1" x14ac:dyDescent="0.25"/>
    <row r="156" spans="1:12" ht="13.5" customHeight="1" x14ac:dyDescent="0.25"/>
    <row r="157" spans="1:12" ht="13.5" customHeight="1" x14ac:dyDescent="0.25"/>
    <row r="158" spans="1:12" ht="13.5" customHeight="1" x14ac:dyDescent="0.25"/>
    <row r="159" spans="1:12" ht="13.5" customHeight="1" x14ac:dyDescent="0.25"/>
    <row r="160" spans="1:12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416" spans="21:21" x14ac:dyDescent="0.25">
      <c r="U416" s="91"/>
    </row>
    <row r="417" spans="21:21" x14ac:dyDescent="0.25">
      <c r="U417" s="91"/>
    </row>
    <row r="418" spans="21:21" x14ac:dyDescent="0.25">
      <c r="U418" s="91"/>
    </row>
    <row r="419" spans="21:21" x14ac:dyDescent="0.25">
      <c r="U419" s="91"/>
    </row>
    <row r="420" spans="21:21" x14ac:dyDescent="0.25">
      <c r="U420" s="91"/>
    </row>
    <row r="421" spans="21:21" x14ac:dyDescent="0.25">
      <c r="U421" s="91"/>
    </row>
    <row r="422" spans="21:21" x14ac:dyDescent="0.25">
      <c r="U422" s="91"/>
    </row>
    <row r="423" spans="21:21" x14ac:dyDescent="0.25">
      <c r="U423" s="91"/>
    </row>
    <row r="424" spans="21:21" x14ac:dyDescent="0.25">
      <c r="U424" s="91"/>
    </row>
    <row r="425" spans="21:21" x14ac:dyDescent="0.25">
      <c r="U425" s="91"/>
    </row>
  </sheetData>
  <sheetProtection password="BB0F" sheet="1" objects="1" scenarios="1"/>
  <mergeCells count="2">
    <mergeCell ref="H33:I33"/>
    <mergeCell ref="H71:I71"/>
  </mergeCells>
  <phoneticPr fontId="1"/>
  <pageMargins left="0.86" right="0.33" top="0.2" bottom="0.2" header="0.51200000000000001" footer="0.51200000000000001"/>
  <pageSetup paperSize="9" scale="4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>FDT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FA5500A/FA5501A用設計ツール</dc:title>
  <dc:creator>TAC）Sugimoto</dc:creator>
  <cp:lastModifiedBy>*</cp:lastModifiedBy>
  <cp:lastPrinted>2018-12-10T23:23:09Z</cp:lastPrinted>
  <dcterms:created xsi:type="dcterms:W3CDTF">2008-04-08T00:44:46Z</dcterms:created>
  <dcterms:modified xsi:type="dcterms:W3CDTF">2019-04-16T00:53:17Z</dcterms:modified>
  <cp:contentStatus/>
</cp:coreProperties>
</file>